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<sst xmlns="http://schemas.openxmlformats.org/spreadsheetml/2006/main" count="159" uniqueCount="113">
  <si>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</si>
  <si>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</si>
  <si>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</si>
  <si>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</si>
  <si>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</si>
  <si>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</si>
  <si>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</si>
  <si>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</si>
  <si>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</si>
  <si>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</si>
  <si>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</si>
  <si>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</si>
  <si>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</si>
  <si>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</si>
  <si>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</si>
  <si>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</si>
  <si>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</si>
  <si>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</si>
  <si>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</si>
  <si>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</si>
  <si>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</si>
  <si>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</si>
  <si>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</si>
  <si>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</si>
  <si>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</si>
  <si>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</si>
  <si>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</si>
  <si>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</si>
  <si>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</si>
  <si>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</si>
  <si>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</si>
  <si>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</si>
  <si>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</si>
  <si>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</si>
  <si>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</si>
  <si>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</si>
  <si>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</si>
  <si>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</si>
  <si>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</si>
  <si>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</si>
  <si>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</si>
  <si>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</si>
  <si>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</si>
  <si>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</si>
  <si>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</si>
  <si>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</si>
  <si>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</si>
  <si>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</si>
  <si>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</si>
  <si>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</si>
  <si>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</si>
  <si>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</si>
  <si>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</si>
  <si>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</si>
  <si>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</si>
  <si>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</si>
  <si>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</si>
  <si>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</si>
  <si>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</si>
  <si>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</si>
  <si>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</si>
  <si>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</si>
  <si>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</si>
  <si>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</si>
  <si>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</si>
  <si>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</si>
  <si>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</si>
  <si>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</si>
  <si>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</si>
  <si>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</si>
  <si>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</si>
  <si>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</si>
  <si>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</si>
  <si>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</si>
  <si>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</si>
  <si>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</si>
  <si>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</si>
  <si>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</si>
  <si>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</si>
  <si>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</si>
  <si>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</si>
  <si>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</si>
  <si>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</si>
  <si>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</si>
  <si>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</si>
  <si>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</si>
  <si>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</si>
  <si>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</si>
  <si>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</si>
  <si>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</si>
  <si>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</si>
  <si>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</si>
  <si>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</si>
  <si>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</si>
  <si>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</si>
  <si>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</si>
  <si>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</si>
  <si>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</si>
  <si>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</si>
  <si>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</si>
  <si>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</si>
  <si>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</si>
  <si>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</si>
  <si>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</si>
  <si>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</si>
  <si>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</si>
  <si>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</si>
  <si>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</si>
  <si>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</si>
  <si>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</si>
  <si>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</si>
  <si>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</si>
  <si>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2014 рік станом на 27.11.2014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</si>
</sst>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44081.4</c:v>
                </c:pt>
                <c:pt idx="1">
                  <c:v>37246.4</c:v>
                </c:pt>
                <c:pt idx="2">
                  <c:v>1830.1999999999998</c:v>
                </c:pt>
                <c:pt idx="3">
                  <c:v>5004.8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36783.200000000004</c:v>
                </c:pt>
                <c:pt idx="1">
                  <c:v>31923.799999999996</c:v>
                </c:pt>
                <c:pt idx="2">
                  <c:v>1233.9</c:v>
                </c:pt>
                <c:pt idx="3">
                  <c:v>3625.5000000000086</c:v>
                </c:pt>
              </c:numCache>
            </c:numRef>
          </c:val>
          <c:shape val="box"/>
        </c:ser>
        <c:shape val="box"/>
        <c:axId val="24881816"/>
        <c:axId val="22609753"/>
      </c:bar3DChart>
      <c:catAx>
        <c:axId val="24881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609753"/>
        <c:crosses val="autoZero"/>
        <c:auto val="1"/>
        <c:lblOffset val="100"/>
        <c:tickLblSkip val="1"/>
        <c:noMultiLvlLbl val="0"/>
      </c:catAx>
      <c:valAx>
        <c:axId val="22609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818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275237.7</c:v>
                </c:pt>
                <c:pt idx="1">
                  <c:v>216112.1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237864.21000000002</c:v>
                </c:pt>
                <c:pt idx="1">
                  <c:v>198440.19999999995</c:v>
                </c:pt>
                <c:pt idx="2">
                  <c:v>26.6</c:v>
                </c:pt>
                <c:pt idx="3">
                  <c:v>14416.199999999999</c:v>
                </c:pt>
                <c:pt idx="4">
                  <c:v>23341.1</c:v>
                </c:pt>
                <c:pt idx="5">
                  <c:v>201.4</c:v>
                </c:pt>
                <c:pt idx="6">
                  <c:v>1438.7100000000733</c:v>
                </c:pt>
              </c:numCache>
            </c:numRef>
          </c:val>
          <c:shape val="box"/>
        </c:ser>
        <c:shape val="box"/>
        <c:axId val="2161186"/>
        <c:axId val="19450675"/>
      </c:bar3DChart>
      <c:catAx>
        <c:axId val="216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450675"/>
        <c:crosses val="autoZero"/>
        <c:auto val="1"/>
        <c:lblOffset val="100"/>
        <c:tickLblSkip val="1"/>
        <c:noMultiLvlLbl val="0"/>
      </c:catAx>
      <c:valAx>
        <c:axId val="194506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11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178507.1</c:v>
                </c:pt>
                <c:pt idx="1">
                  <c:v>134142.9</c:v>
                </c:pt>
                <c:pt idx="2">
                  <c:v>7851.5</c:v>
                </c:pt>
                <c:pt idx="3">
                  <c:v>2836.6</c:v>
                </c:pt>
                <c:pt idx="4">
                  <c:v>19353.6</c:v>
                </c:pt>
                <c:pt idx="5">
                  <c:v>1403.5</c:v>
                </c:pt>
                <c:pt idx="6">
                  <c:v>12919.000000000015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166048.70000000004</c:v>
                </c:pt>
                <c:pt idx="1">
                  <c:v>134115.4</c:v>
                </c:pt>
                <c:pt idx="2">
                  <c:v>5665.499999999998</c:v>
                </c:pt>
                <c:pt idx="3">
                  <c:v>2430.2999999999997</c:v>
                </c:pt>
                <c:pt idx="4">
                  <c:v>12149.999999999998</c:v>
                </c:pt>
                <c:pt idx="5">
                  <c:v>1160.3999999999999</c:v>
                </c:pt>
                <c:pt idx="6">
                  <c:v>10527.10000000005</c:v>
                </c:pt>
              </c:numCache>
            </c:numRef>
          </c:val>
          <c:shape val="box"/>
        </c:ser>
        <c:shape val="box"/>
        <c:axId val="40838348"/>
        <c:axId val="32000813"/>
      </c:bar3DChart>
      <c:catAx>
        <c:axId val="40838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00813"/>
        <c:crosses val="autoZero"/>
        <c:auto val="1"/>
        <c:lblOffset val="100"/>
        <c:tickLblSkip val="1"/>
        <c:noMultiLvlLbl val="0"/>
      </c:catAx>
      <c:valAx>
        <c:axId val="32000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383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36725.3</c:v>
                </c:pt>
                <c:pt idx="1">
                  <c:v>27932.4</c:v>
                </c:pt>
                <c:pt idx="2">
                  <c:v>1735.2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6593.200000000002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31459.299999999996</c:v>
                </c:pt>
                <c:pt idx="1">
                  <c:v>24616.200000000004</c:v>
                </c:pt>
                <c:pt idx="2">
                  <c:v>788.2999999999997</c:v>
                </c:pt>
                <c:pt idx="3">
                  <c:v>357.9</c:v>
                </c:pt>
                <c:pt idx="4">
                  <c:v>18</c:v>
                </c:pt>
                <c:pt idx="5">
                  <c:v>5678.899999999992</c:v>
                </c:pt>
              </c:numCache>
            </c:numRef>
          </c:val>
          <c:shape val="box"/>
        </c:ser>
        <c:shape val="box"/>
        <c:axId val="19571862"/>
        <c:axId val="41929031"/>
      </c:bar3DChart>
      <c:catAx>
        <c:axId val="19571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29031"/>
        <c:crosses val="autoZero"/>
        <c:auto val="1"/>
        <c:lblOffset val="100"/>
        <c:tickLblSkip val="1"/>
        <c:noMultiLvlLbl val="0"/>
      </c:catAx>
      <c:valAx>
        <c:axId val="419290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718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7635.1</c:v>
                </c:pt>
                <c:pt idx="2">
                  <c:v>9.7</c:v>
                </c:pt>
                <c:pt idx="3">
                  <c:v>323</c:v>
                </c:pt>
                <c:pt idx="4">
                  <c:v>533.1</c:v>
                </c:pt>
                <c:pt idx="5">
                  <c:v>3639.299999999999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9780.300000000001</c:v>
                </c:pt>
                <c:pt idx="1">
                  <c:v>6593.299999999998</c:v>
                </c:pt>
                <c:pt idx="2">
                  <c:v>2.1</c:v>
                </c:pt>
                <c:pt idx="3">
                  <c:v>152.8</c:v>
                </c:pt>
                <c:pt idx="4">
                  <c:v>260.09999999999985</c:v>
                </c:pt>
                <c:pt idx="5">
                  <c:v>2772.0000000000027</c:v>
                </c:pt>
              </c:numCache>
            </c:numRef>
          </c:val>
          <c:shape val="box"/>
        </c:ser>
        <c:shape val="box"/>
        <c:axId val="41816960"/>
        <c:axId val="40808321"/>
      </c:bar3DChart>
      <c:catAx>
        <c:axId val="41816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808321"/>
        <c:crosses val="autoZero"/>
        <c:auto val="1"/>
        <c:lblOffset val="100"/>
        <c:tickLblSkip val="2"/>
        <c:noMultiLvlLbl val="0"/>
      </c:catAx>
      <c:valAx>
        <c:axId val="40808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169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3105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111.29999999999981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2737.2000000000007</c:v>
                </c:pt>
                <c:pt idx="1">
                  <c:v>1598.6</c:v>
                </c:pt>
                <c:pt idx="2">
                  <c:v>181.4</c:v>
                </c:pt>
                <c:pt idx="3">
                  <c:v>138.20000000000005</c:v>
                </c:pt>
                <c:pt idx="4">
                  <c:v>728.3000000000001</c:v>
                </c:pt>
                <c:pt idx="5">
                  <c:v>90.7000000000007</c:v>
                </c:pt>
              </c:numCache>
            </c:numRef>
          </c:val>
          <c:shape val="box"/>
        </c:ser>
        <c:shape val="box"/>
        <c:axId val="31730570"/>
        <c:axId val="17139675"/>
      </c:bar3DChart>
      <c:catAx>
        <c:axId val="3173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39675"/>
        <c:crosses val="autoZero"/>
        <c:auto val="1"/>
        <c:lblOffset val="100"/>
        <c:tickLblSkip val="1"/>
        <c:noMultiLvlLbl val="0"/>
      </c:catAx>
      <c:valAx>
        <c:axId val="171396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305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42892.4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31088.600000000006</c:v>
                </c:pt>
              </c:numCache>
            </c:numRef>
          </c:val>
          <c:shape val="box"/>
        </c:ser>
        <c:shape val="box"/>
        <c:axId val="20039348"/>
        <c:axId val="46136405"/>
      </c:bar3DChart>
      <c:catAx>
        <c:axId val="20039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136405"/>
        <c:crosses val="autoZero"/>
        <c:auto val="1"/>
        <c:lblOffset val="100"/>
        <c:tickLblSkip val="1"/>
        <c:noMultiLvlLbl val="0"/>
      </c:catAx>
      <c:valAx>
        <c:axId val="461364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393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275237.7</c:v>
                </c:pt>
                <c:pt idx="1">
                  <c:v>178507.1</c:v>
                </c:pt>
                <c:pt idx="2">
                  <c:v>36725.3</c:v>
                </c:pt>
                <c:pt idx="3">
                  <c:v>12140.199999999999</c:v>
                </c:pt>
                <c:pt idx="4">
                  <c:v>3105</c:v>
                </c:pt>
                <c:pt idx="5">
                  <c:v>44081.4</c:v>
                </c:pt>
                <c:pt idx="6">
                  <c:v>42892.4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237864.21000000002</c:v>
                </c:pt>
                <c:pt idx="1">
                  <c:v>166048.70000000004</c:v>
                </c:pt>
                <c:pt idx="2">
                  <c:v>31459.299999999996</c:v>
                </c:pt>
                <c:pt idx="3">
                  <c:v>9780.300000000001</c:v>
                </c:pt>
                <c:pt idx="4">
                  <c:v>2737.2000000000007</c:v>
                </c:pt>
                <c:pt idx="5">
                  <c:v>36783.200000000004</c:v>
                </c:pt>
                <c:pt idx="6">
                  <c:v>31088.600000000006</c:v>
                </c:pt>
              </c:numCache>
            </c:numRef>
          </c:val>
          <c:shape val="box"/>
        </c:ser>
        <c:shape val="box"/>
        <c:axId val="12574462"/>
        <c:axId val="46061295"/>
      </c:bar3DChart>
      <c:catAx>
        <c:axId val="1257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61295"/>
        <c:crosses val="autoZero"/>
        <c:auto val="1"/>
        <c:lblOffset val="100"/>
        <c:tickLblSkip val="1"/>
        <c:noMultiLvlLbl val="0"/>
      </c:catAx>
      <c:valAx>
        <c:axId val="46061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744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431119.7</c:v>
                </c:pt>
                <c:pt idx="1">
                  <c:v>64497.399999999994</c:v>
                </c:pt>
                <c:pt idx="2">
                  <c:v>20514.600000000002</c:v>
                </c:pt>
                <c:pt idx="3">
                  <c:v>8559.9</c:v>
                </c:pt>
                <c:pt idx="4">
                  <c:v>7976.8</c:v>
                </c:pt>
                <c:pt idx="5">
                  <c:v>91491.39999999992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402653.3999999999</c:v>
                </c:pt>
                <c:pt idx="1">
                  <c:v>38506.9</c:v>
                </c:pt>
                <c:pt idx="2">
                  <c:v>17229.600000000002</c:v>
                </c:pt>
                <c:pt idx="3">
                  <c:v>6406.300000000001</c:v>
                </c:pt>
                <c:pt idx="4">
                  <c:v>5695.199999999999</c:v>
                </c:pt>
                <c:pt idx="5">
                  <c:v>68545.2100000002</c:v>
                </c:pt>
              </c:numCache>
            </c:numRef>
          </c:val>
          <c:shape val="box"/>
        </c:ser>
        <c:shape val="box"/>
        <c:axId val="11898472"/>
        <c:axId val="39977385"/>
      </c:bar3DChart>
      <c:catAx>
        <c:axId val="1189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77385"/>
        <c:crosses val="autoZero"/>
        <c:auto val="1"/>
        <c:lblOffset val="100"/>
        <c:tickLblSkip val="1"/>
        <c:noMultiLvlLbl val="0"/>
      </c:catAx>
      <c:valAx>
        <c:axId val="39977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984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f>255646.7-11.5+5906.4+10.3+1149.6</f>
        <v>262701.5</v>
      </c>
      <c r="C6" s="53">
        <f>279531.5-5173.3+47.5+832+10.3</f>
        <v>275248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+3.3+31.2+290.4+25.9+2.9+212.7+1+0.4+1.4+11140.7+117.5+107.7+285+313+275.7+72.6+6635.8+82+20+553.3+2552.5+19+1.4+59.6+115.9</f>
        <v>241185.91</v>
      </c>
      <c r="E6" s="3">
        <f>D6/D137*100</f>
        <v>44.183018070975805</v>
      </c>
      <c r="F6" s="3">
        <f>D6/B6*100</f>
        <v>91.80987166042067</v>
      </c>
      <c r="G6" s="3">
        <f aca="true" t="shared" si="0" ref="G6:G41">D6/C6*100</f>
        <v>87.62494550369122</v>
      </c>
      <c r="H6" s="3">
        <f>B6-D6</f>
        <v>21515.589999999997</v>
      </c>
      <c r="I6" s="3">
        <f aca="true" t="shared" si="1" ref="I6:I41">C6-D6</f>
        <v>34062.09</v>
      </c>
    </row>
    <row r="7" spans="1:9" ht="18">
      <c r="A7" s="29" t="s">
        <v>3</v>
      </c>
      <c r="B7" s="49">
        <f>205760-11.5+5906.4+1149.6</f>
        <v>212804.5</v>
      </c>
      <c r="C7" s="50">
        <f>220378.6-5173.3+74.8+832</f>
        <v>216112.1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+11140.7+72.6+5453.1+553.3+2226.8</f>
        <v>201220.29999999993</v>
      </c>
      <c r="E7" s="1">
        <f>D7/D6*100</f>
        <v>83.42954196619526</v>
      </c>
      <c r="F7" s="1">
        <f>D7/B7*100</f>
        <v>94.55641210594698</v>
      </c>
      <c r="G7" s="1">
        <f t="shared" si="0"/>
        <v>93.10922433311227</v>
      </c>
      <c r="H7" s="1">
        <f>B7-D7</f>
        <v>11584.20000000007</v>
      </c>
      <c r="I7" s="1">
        <f t="shared" si="1"/>
        <v>14891.800000000076</v>
      </c>
    </row>
    <row r="8" spans="1:9" ht="18">
      <c r="A8" s="29" t="s">
        <v>2</v>
      </c>
      <c r="B8" s="49">
        <v>44.6</v>
      </c>
      <c r="C8" s="50">
        <v>44.6</v>
      </c>
      <c r="D8" s="51">
        <f>0.1+0.1+0.3+0.3+2.7+0.7+1.1+1.4+0.5+0.7+1.7+0.4+0.5+1+0.2+0.1+2.9+0.1+0.2+1+0.8+0.9+1.8+0.5+1.6+2.2+2.7+0.1+0.9</f>
        <v>27.5</v>
      </c>
      <c r="E8" s="12">
        <f>D8/D6*100</f>
        <v>0.011401992761517453</v>
      </c>
      <c r="F8" s="1">
        <f>D8/B8*100</f>
        <v>61.65919282511211</v>
      </c>
      <c r="G8" s="1">
        <f t="shared" si="0"/>
        <v>61.65919282511211</v>
      </c>
      <c r="H8" s="1">
        <f aca="true" t="shared" si="2" ref="H8:H41">B8-D8</f>
        <v>17.1</v>
      </c>
      <c r="I8" s="1">
        <f t="shared" si="1"/>
        <v>17.1</v>
      </c>
    </row>
    <row r="9" spans="1:9" ht="18">
      <c r="A9" s="29" t="s">
        <v>1</v>
      </c>
      <c r="B9" s="49">
        <f>15502.3+19.1</f>
        <v>15521.4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+146.4-0.1+100+95.5+102.5+234.3+272.5+514.8+14.5+115.9</f>
        <v>14546.599999999999</v>
      </c>
      <c r="E9" s="1">
        <f>D9/D6*100</f>
        <v>6.031281014715992</v>
      </c>
      <c r="F9" s="1">
        <f aca="true" t="shared" si="3" ref="F9:F39">D9/B9*100</f>
        <v>93.71963869238598</v>
      </c>
      <c r="G9" s="1">
        <f t="shared" si="0"/>
        <v>85.04943374825329</v>
      </c>
      <c r="H9" s="1">
        <f t="shared" si="2"/>
        <v>974.8000000000011</v>
      </c>
      <c r="I9" s="1">
        <f t="shared" si="1"/>
        <v>2557.100000000002</v>
      </c>
    </row>
    <row r="10" spans="1:9" ht="18">
      <c r="A10" s="29" t="s">
        <v>0</v>
      </c>
      <c r="B10" s="49">
        <f>31902.3+0.9-13.5</f>
        <v>31889.7</v>
      </c>
      <c r="C10" s="50">
        <f>39445.5+0.9+5.6</f>
        <v>39452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+66.3-0.1+14.8+182.5+78.7+667.8+80.5+319.1+45.1</f>
        <v>23705.299999999996</v>
      </c>
      <c r="E10" s="1">
        <f>D10/D6*100</f>
        <v>9.828642145803624</v>
      </c>
      <c r="F10" s="1">
        <f t="shared" si="3"/>
        <v>74.3352869421788</v>
      </c>
      <c r="G10" s="1">
        <f t="shared" si="0"/>
        <v>60.086434147825194</v>
      </c>
      <c r="H10" s="1">
        <f t="shared" si="2"/>
        <v>8184.400000000005</v>
      </c>
      <c r="I10" s="1">
        <f t="shared" si="1"/>
        <v>15746.700000000004</v>
      </c>
    </row>
    <row r="11" spans="1:9" ht="18">
      <c r="A11" s="29" t="s">
        <v>15</v>
      </c>
      <c r="B11" s="49">
        <f>242.6+3.6</f>
        <v>246.2</v>
      </c>
      <c r="C11" s="50">
        <f>281.8-31.7+3.6</f>
        <v>253.70000000000002</v>
      </c>
      <c r="D11" s="51">
        <f>4+4+12.7+4+4+14.5+4+115.8+4+14.4+5.4+0.1+13.4+1+0.1</f>
        <v>201.4</v>
      </c>
      <c r="E11" s="1">
        <f>D11/D6*100</f>
        <v>0.08350404880616782</v>
      </c>
      <c r="F11" s="1">
        <f t="shared" si="3"/>
        <v>81.80341186027621</v>
      </c>
      <c r="G11" s="1">
        <f t="shared" si="0"/>
        <v>79.38510051241624</v>
      </c>
      <c r="H11" s="1">
        <f t="shared" si="2"/>
        <v>44.79999999999998</v>
      </c>
      <c r="I11" s="1">
        <f t="shared" si="1"/>
        <v>52.30000000000001</v>
      </c>
    </row>
    <row r="12" spans="1:9" ht="18.75" thickBot="1">
      <c r="A12" s="29" t="s">
        <v>35</v>
      </c>
      <c r="B12" s="50">
        <f>B6-B7-B8-B9-B10-B11</f>
        <v>2195.0999999999995</v>
      </c>
      <c r="C12" s="50">
        <f>C6-C7-C8-C9-C10-C11</f>
        <v>2281.8999999999915</v>
      </c>
      <c r="D12" s="50">
        <f>D6-D7-D8-D9-D10-D11</f>
        <v>1484.810000000079</v>
      </c>
      <c r="E12" s="1">
        <f>D12/D6*100</f>
        <v>0.6156288317174411</v>
      </c>
      <c r="F12" s="1">
        <f t="shared" si="3"/>
        <v>67.6420208646567</v>
      </c>
      <c r="G12" s="1">
        <f t="shared" si="0"/>
        <v>65.06902142951421</v>
      </c>
      <c r="H12" s="1">
        <f t="shared" si="2"/>
        <v>710.2899999999204</v>
      </c>
      <c r="I12" s="1">
        <f t="shared" si="1"/>
        <v>797.0899999999124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f>173300.3+177.9</f>
        <v>173478.19999999998</v>
      </c>
      <c r="C17" s="53">
        <f>176050.5+1395.7+321.5+739.4+177.9</f>
        <v>178685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+12.3+5567+455.4+1041.1+0.1+164.4+7+116.2+121.4+70+5426.1+50+29.4+277.2+38+5.8</f>
        <v>166449.10000000003</v>
      </c>
      <c r="E17" s="3">
        <f>D17/D137*100</f>
        <v>30.491928791352947</v>
      </c>
      <c r="F17" s="3">
        <f>D17/B17*100</f>
        <v>95.94813642290504</v>
      </c>
      <c r="G17" s="3">
        <f t="shared" si="0"/>
        <v>93.15225116825701</v>
      </c>
      <c r="H17" s="3">
        <f>B17-D17</f>
        <v>7029.099999999948</v>
      </c>
      <c r="I17" s="3">
        <f t="shared" si="1"/>
        <v>12235.899999999965</v>
      </c>
    </row>
    <row r="18" spans="1:9" ht="18">
      <c r="A18" s="29" t="s">
        <v>5</v>
      </c>
      <c r="B18" s="49">
        <f>134128+14.9+177.9</f>
        <v>134320.8</v>
      </c>
      <c r="C18" s="50">
        <f>133077.8+325.7+739.4+177.9</f>
        <v>134320.8</v>
      </c>
      <c r="D18" s="51">
        <f>5127.2+6545.1+310.1+0.1+5190.4+6767.1+5380.4+556.1+6698.2+26.3+5454.2+14.7+1807.4+5633.7-0.1+5479.7+8333.7+0.1+5594.2+20.5+8919.7-0.1+6648.6+409.3+7265+6051.8+1663.6+3936.9-0.1+1069.7+155.1+0.3+41.2+5904.4+6325.6+5773.5+12.3+5567+103.7+1041.1+0.1+4287.6</f>
        <v>134115.4</v>
      </c>
      <c r="E18" s="1">
        <f>D18/D17*100</f>
        <v>80.57442185028334</v>
      </c>
      <c r="F18" s="1">
        <f t="shared" si="3"/>
        <v>99.84708250695351</v>
      </c>
      <c r="G18" s="1">
        <f t="shared" si="0"/>
        <v>99.84708250695351</v>
      </c>
      <c r="H18" s="1">
        <f t="shared" si="2"/>
        <v>205.39999999999418</v>
      </c>
      <c r="I18" s="1">
        <f t="shared" si="1"/>
        <v>205.39999999999418</v>
      </c>
    </row>
    <row r="19" spans="1:9" ht="18">
      <c r="A19" s="29" t="s">
        <v>2</v>
      </c>
      <c r="B19" s="49">
        <v>7281.7</v>
      </c>
      <c r="C19" s="50">
        <f>7565.3-5.5+258.8+32.9</f>
        <v>7851.5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+107.9-0.1+50+12.3+70+635.6+28.9</f>
        <v>5694.399999999998</v>
      </c>
      <c r="E19" s="1">
        <f>D19/D17*100</f>
        <v>3.421105911657075</v>
      </c>
      <c r="F19" s="1">
        <f t="shared" si="3"/>
        <v>78.2015188760866</v>
      </c>
      <c r="G19" s="1">
        <f t="shared" si="0"/>
        <v>72.52626886582179</v>
      </c>
      <c r="H19" s="1">
        <f t="shared" si="2"/>
        <v>1587.300000000002</v>
      </c>
      <c r="I19" s="1">
        <f t="shared" si="1"/>
        <v>2157.100000000002</v>
      </c>
    </row>
    <row r="20" spans="1:9" ht="18">
      <c r="A20" s="29" t="s">
        <v>1</v>
      </c>
      <c r="B20" s="49">
        <f>2605.6+8</f>
        <v>2613.6</v>
      </c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50.7+162.6+43.4+2.3+47.2+1.8+59.1-0.1+62.8+64.5+13.9+16.6+5.7+70.4+205+17+53.6+0.4+52.9+123.3+33.6+13.4+33.2+48.5+167.7+45.5+44.4+10.1+293.6+15.3+0.1+122.4+32+45.4+109.8-0.1+34.2+93.5+81.6+3+110.5+39.5+43.8</f>
        <v>2474.1</v>
      </c>
      <c r="E20" s="1">
        <f>D20/D17*100</f>
        <v>1.4864003470129905</v>
      </c>
      <c r="F20" s="1">
        <f t="shared" si="3"/>
        <v>94.6625344352617</v>
      </c>
      <c r="G20" s="1">
        <f t="shared" si="0"/>
        <v>87.22061623069872</v>
      </c>
      <c r="H20" s="1">
        <f t="shared" si="2"/>
        <v>139.5</v>
      </c>
      <c r="I20" s="1">
        <f t="shared" si="1"/>
        <v>362.5</v>
      </c>
    </row>
    <row r="21" spans="1:9" ht="18">
      <c r="A21" s="29" t="s">
        <v>0</v>
      </c>
      <c r="B21" s="49">
        <f>15535.5-1</f>
        <v>15534.5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+0.1+3.9+109.3+109.1+234.6+137.4</f>
        <v>12287.399999999998</v>
      </c>
      <c r="E21" s="1">
        <f>D21/D17*100</f>
        <v>7.382076562745005</v>
      </c>
      <c r="F21" s="1">
        <f t="shared" si="3"/>
        <v>79.09749267758858</v>
      </c>
      <c r="G21" s="1">
        <f t="shared" si="0"/>
        <v>63.48896329365079</v>
      </c>
      <c r="H21" s="1">
        <f t="shared" si="2"/>
        <v>3247.100000000002</v>
      </c>
      <c r="I21" s="1">
        <f t="shared" si="1"/>
        <v>7066.200000000001</v>
      </c>
    </row>
    <row r="22" spans="1:9" ht="18">
      <c r="A22" s="29" t="s">
        <v>15</v>
      </c>
      <c r="B22" s="49">
        <f>1308.1+7.1</f>
        <v>1315.1999999999998</v>
      </c>
      <c r="C22" s="50">
        <f>1388.5-4+10.9+8.1</f>
        <v>1403.5</v>
      </c>
      <c r="D22" s="51">
        <f>14.2+80.1+19.7+105+3.5+1.3+30+84.1+0.1+72.2+54.8+15.1+59.3+59.3+8.9+52.2+1.2+36.9+21.6+108.1+114.2+52.3+53.9+3.6+52.3+56.5+0.1-0.1+52.3</f>
        <v>1212.6999999999998</v>
      </c>
      <c r="E22" s="1">
        <f>D22/D17*100</f>
        <v>0.7285710766835024</v>
      </c>
      <c r="F22" s="1">
        <f t="shared" si="3"/>
        <v>92.20650851581509</v>
      </c>
      <c r="G22" s="1">
        <f t="shared" si="0"/>
        <v>86.40541503384395</v>
      </c>
      <c r="H22" s="1">
        <f t="shared" si="2"/>
        <v>102.5</v>
      </c>
      <c r="I22" s="1">
        <f t="shared" si="1"/>
        <v>190.80000000000018</v>
      </c>
    </row>
    <row r="23" spans="1:9" ht="18.75" thickBot="1">
      <c r="A23" s="29" t="s">
        <v>35</v>
      </c>
      <c r="B23" s="50">
        <f>B17-B18-B19-B20-B21-B22</f>
        <v>12412.399999999994</v>
      </c>
      <c r="C23" s="50">
        <f>C17-C18-C19-C20-C21-C22</f>
        <v>12919.000000000015</v>
      </c>
      <c r="D23" s="50">
        <f>D17-D18-D19-D20-D21-D22</f>
        <v>10665.100000000046</v>
      </c>
      <c r="E23" s="1">
        <f>D23/D17*100</f>
        <v>6.407424251618088</v>
      </c>
      <c r="F23" s="1">
        <f t="shared" si="3"/>
        <v>85.92294801972263</v>
      </c>
      <c r="G23" s="1">
        <f t="shared" si="0"/>
        <v>82.55360322006374</v>
      </c>
      <c r="H23" s="1">
        <f t="shared" si="2"/>
        <v>1747.2999999999483</v>
      </c>
      <c r="I23" s="1">
        <f t="shared" si="1"/>
        <v>2253.8999999999687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34254.3</v>
      </c>
      <c r="C31" s="53">
        <f>38286.9-761.1-47.5-753</f>
        <v>36725.3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+47.1+8.4+1084.4+0.1+29+0.9+9.8+0.3+714.2+77.9+551.7+0.5+142.8+26.6-3.1+45.1+2+2.2+55.4+226.9</f>
        <v>31957.199999999997</v>
      </c>
      <c r="E31" s="3">
        <f>D31/D137*100</f>
        <v>5.854262154442553</v>
      </c>
      <c r="F31" s="3">
        <f>D31/B31*100</f>
        <v>93.29398060973365</v>
      </c>
      <c r="G31" s="3">
        <f t="shared" si="0"/>
        <v>87.01685214280073</v>
      </c>
      <c r="H31" s="3">
        <f t="shared" si="2"/>
        <v>2297.100000000006</v>
      </c>
      <c r="I31" s="3">
        <f t="shared" si="1"/>
        <v>4768.100000000006</v>
      </c>
    </row>
    <row r="32" spans="1:9" ht="18">
      <c r="A32" s="29" t="s">
        <v>3</v>
      </c>
      <c r="B32" s="49">
        <f>26254+12.1+1.3</f>
        <v>26267.399999999998</v>
      </c>
      <c r="C32" s="50">
        <f>28976.1-761.1+77.4-360+12.1</f>
        <v>27944.5</v>
      </c>
      <c r="D32" s="51">
        <f>1119.5+1121.1+1039.4+104.2+1079.5+1133.4+1048+1163.9+1081.6+1130.3+1238-0.1+13.4+4.1+3118.3+55.1+2433-70.8+488+299.2+413.9+849.2+1170.6+1086.2+1141.9+47.1+1084.4+714.2+77.9+431.7+55.4+189.4</f>
        <v>24861.000000000007</v>
      </c>
      <c r="E32" s="1">
        <f>D32/D31*100</f>
        <v>77.79467537831853</v>
      </c>
      <c r="F32" s="1">
        <f t="shared" si="3"/>
        <v>94.64583476095848</v>
      </c>
      <c r="G32" s="1">
        <f t="shared" si="0"/>
        <v>88.96562829894972</v>
      </c>
      <c r="H32" s="1">
        <f t="shared" si="2"/>
        <v>1406.3999999999905</v>
      </c>
      <c r="I32" s="1">
        <f t="shared" si="1"/>
        <v>3083.4999999999927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f>1428.4-11.1-1.3+1.7+19.3</f>
        <v>1437.0000000000002</v>
      </c>
      <c r="C34" s="50">
        <f>1732.8+0.4+2-11.1+1.7+21.1</f>
        <v>1746.9</v>
      </c>
      <c r="D34" s="51">
        <f>1+2.5+0.8+6+1.4+0.1+11.2+0.5+6.3-0.2+32.4+6.9+2.4+3.4+18.4+48+143.7+198.6+32.7+71.3+22.6+9.9+48+1.6+5.4+15.8+0.4+0.8+1.6+4.3+7.5-0.1+9.4+0.4+4.3-0.2+4.2+1.9+2.1+9.7+0.2+1+9.8+0.3+40-3.1+0.1</f>
        <v>785.2999999999997</v>
      </c>
      <c r="E34" s="1">
        <f>D34/D31*100</f>
        <v>2.4573492045611</v>
      </c>
      <c r="F34" s="1">
        <f t="shared" si="3"/>
        <v>54.64857341684062</v>
      </c>
      <c r="G34" s="1">
        <f t="shared" si="0"/>
        <v>44.95391836968342</v>
      </c>
      <c r="H34" s="1">
        <f t="shared" si="2"/>
        <v>651.7000000000005</v>
      </c>
      <c r="I34" s="1">
        <f t="shared" si="1"/>
        <v>961.6000000000004</v>
      </c>
    </row>
    <row r="35" spans="1:9" s="44" customFormat="1" ht="18.75">
      <c r="A35" s="23" t="s">
        <v>7</v>
      </c>
      <c r="B35" s="58">
        <v>419.3</v>
      </c>
      <c r="C35" s="59">
        <f>715.3-279</f>
        <v>436.29999999999995</v>
      </c>
      <c r="D35" s="60">
        <f>38.5+5.5+3+4.5+22.1+25.5+8.2+45.3+17.5+1+24+2.2+10+60+29.8+5.1+15.7+15+5+20+7</f>
        <v>364.9</v>
      </c>
      <c r="E35" s="19">
        <f>D35/D31*100</f>
        <v>1.141839710612945</v>
      </c>
      <c r="F35" s="19">
        <f t="shared" si="3"/>
        <v>87.02599570713092</v>
      </c>
      <c r="G35" s="19">
        <f t="shared" si="0"/>
        <v>83.63511345404538</v>
      </c>
      <c r="H35" s="19">
        <f t="shared" si="2"/>
        <v>54.400000000000034</v>
      </c>
      <c r="I35" s="19">
        <f t="shared" si="1"/>
        <v>71.39999999999998</v>
      </c>
    </row>
    <row r="36" spans="1:9" ht="18">
      <c r="A36" s="29" t="s">
        <v>15</v>
      </c>
      <c r="B36" s="49">
        <v>24.8</v>
      </c>
      <c r="C36" s="50">
        <f>45.2-20+3</f>
        <v>28.200000000000003</v>
      </c>
      <c r="D36" s="50">
        <f>3.6+3.6+7.2+3.6+3.4</f>
        <v>21.4</v>
      </c>
      <c r="E36" s="1">
        <f>D36/D31*100</f>
        <v>0.06696456510582904</v>
      </c>
      <c r="F36" s="1">
        <f t="shared" si="3"/>
        <v>86.29032258064515</v>
      </c>
      <c r="G36" s="1">
        <f t="shared" si="0"/>
        <v>75.88652482269502</v>
      </c>
      <c r="H36" s="1">
        <f t="shared" si="2"/>
        <v>3.400000000000002</v>
      </c>
      <c r="I36" s="1">
        <f t="shared" si="1"/>
        <v>6.800000000000004</v>
      </c>
    </row>
    <row r="37" spans="1:9" ht="18.75" thickBot="1">
      <c r="A37" s="29" t="s">
        <v>35</v>
      </c>
      <c r="B37" s="49">
        <f>B31-B32-B34-B35-B33-B36</f>
        <v>6105.800000000005</v>
      </c>
      <c r="C37" s="49">
        <f>C31-C32-C34-C35-C33-C36</f>
        <v>6569.400000000003</v>
      </c>
      <c r="D37" s="49">
        <f>D31-D32-D34-D35-D33-D36</f>
        <v>5924.599999999991</v>
      </c>
      <c r="E37" s="1">
        <f>D37/D31*100</f>
        <v>18.5391711414016</v>
      </c>
      <c r="F37" s="1">
        <f t="shared" si="3"/>
        <v>97.03232991581753</v>
      </c>
      <c r="G37" s="1">
        <f t="shared" si="0"/>
        <v>90.18479617621074</v>
      </c>
      <c r="H37" s="1">
        <f>B37-D37</f>
        <v>181.20000000001346</v>
      </c>
      <c r="I37" s="1">
        <f t="shared" si="1"/>
        <v>644.800000000012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f>792.7+6.6+2.2</f>
        <v>801.5000000000001</v>
      </c>
      <c r="C41" s="53">
        <f>1079.9+40.7-300+6.6+2.2</f>
        <v>829.4000000000002</v>
      </c>
      <c r="D41" s="54">
        <f>39.9+10-0.1+63.8+32.1+23.9+51.2+20.3+38.8+26.2+1.3+95+24+3.6+45.4+22.4+25.7+10</f>
        <v>533.5</v>
      </c>
      <c r="E41" s="3">
        <f>D41/D137*100</f>
        <v>0.09773224373208862</v>
      </c>
      <c r="F41" s="3">
        <f>D41/B41*100</f>
        <v>66.5626949469744</v>
      </c>
      <c r="G41" s="3">
        <f t="shared" si="0"/>
        <v>64.32360742705569</v>
      </c>
      <c r="H41" s="3">
        <f t="shared" si="2"/>
        <v>268.0000000000001</v>
      </c>
      <c r="I41" s="3">
        <f t="shared" si="1"/>
        <v>295.9000000000002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5585.7</v>
      </c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+8.8+215.5+53.1+0.5+5.7+205.1+5</f>
        <v>5009.6</v>
      </c>
      <c r="E43" s="3">
        <f>D43/D137*100</f>
        <v>0.9177121803191588</v>
      </c>
      <c r="F43" s="3">
        <f>D43/B43*100</f>
        <v>89.68616288021198</v>
      </c>
      <c r="G43" s="3">
        <f aca="true" t="shared" si="4" ref="G43:G73">D43/C43*100</f>
        <v>82.05464194457186</v>
      </c>
      <c r="H43" s="3">
        <f>B43-D43</f>
        <v>576.0999999999995</v>
      </c>
      <c r="I43" s="3">
        <f aca="true" t="shared" si="5" ref="I43:I74">C43-D43</f>
        <v>1095.5999999999995</v>
      </c>
    </row>
    <row r="44" spans="1:9" ht="18">
      <c r="A44" s="29" t="s">
        <v>3</v>
      </c>
      <c r="B44" s="49">
        <v>4933.8</v>
      </c>
      <c r="C44" s="50">
        <f>5484.1-124.7</f>
        <v>5359.400000000001</v>
      </c>
      <c r="D44" s="51">
        <f>179.7+201.3+187+211.8+190.5+230.5+236.3+199.9+0.1+218.5+248.3+8.2+228.5-0.1+273.7+231.2+200.7+36.5+228.6+183.7-0.1+193.6+217.6+203.8+8.8+215.5+53.1+194.4</f>
        <v>4581.599999999999</v>
      </c>
      <c r="E44" s="1">
        <f>D44/D43*100</f>
        <v>91.4564037048866</v>
      </c>
      <c r="F44" s="1">
        <f aca="true" t="shared" si="6" ref="F44:F71">D44/B44*100</f>
        <v>92.86148607564148</v>
      </c>
      <c r="G44" s="1">
        <f t="shared" si="4"/>
        <v>85.48718140090307</v>
      </c>
      <c r="H44" s="1">
        <f aca="true" t="shared" si="7" ref="H44:H71">B44-D44</f>
        <v>352.2000000000007</v>
      </c>
      <c r="I44" s="1">
        <f t="shared" si="5"/>
        <v>777.8000000000011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0.019961673586713507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v>36.6</v>
      </c>
      <c r="C46" s="50">
        <f>35.1+9.9</f>
        <v>45</v>
      </c>
      <c r="D46" s="51">
        <f>3.2+3.4-0.1+3.7+3.6+3.5+3.2+5.6+1.4</f>
        <v>27.499999999999993</v>
      </c>
      <c r="E46" s="1">
        <f>D46/D43*100</f>
        <v>0.5489460236346213</v>
      </c>
      <c r="F46" s="1">
        <f t="shared" si="6"/>
        <v>75.1366120218579</v>
      </c>
      <c r="G46" s="1">
        <f t="shared" si="4"/>
        <v>61.11111111111109</v>
      </c>
      <c r="H46" s="1">
        <f t="shared" si="7"/>
        <v>9.100000000000009</v>
      </c>
      <c r="I46" s="1">
        <f t="shared" si="5"/>
        <v>17.500000000000007</v>
      </c>
    </row>
    <row r="47" spans="1:9" ht="18">
      <c r="A47" s="29" t="s">
        <v>0</v>
      </c>
      <c r="B47" s="49">
        <v>317.3</v>
      </c>
      <c r="C47" s="50">
        <f>358+23.1+0.1</f>
        <v>381.20000000000005</v>
      </c>
      <c r="D47" s="51">
        <f>23.1+2.7+0.5+0.4+5.2+0.6+99.9+12.6+20.5-0.1+2+19.6+1.1+0.5+4.4+0.4+3.4+4+2.3+0.3+1.3+0.1+0.3+0.5+5.1+9.3</f>
        <v>220.00000000000006</v>
      </c>
      <c r="E47" s="1">
        <f>D47/D43*100</f>
        <v>4.391568189076973</v>
      </c>
      <c r="F47" s="1">
        <f t="shared" si="6"/>
        <v>69.335014182162</v>
      </c>
      <c r="G47" s="1">
        <f t="shared" si="4"/>
        <v>57.71248688352571</v>
      </c>
      <c r="H47" s="1">
        <f t="shared" si="7"/>
        <v>97.29999999999995</v>
      </c>
      <c r="I47" s="1">
        <f t="shared" si="5"/>
        <v>161.2</v>
      </c>
    </row>
    <row r="48" spans="1:9" ht="18.75" thickBot="1">
      <c r="A48" s="29" t="s">
        <v>35</v>
      </c>
      <c r="B48" s="50">
        <f>B43-B44-B47-B46-B45</f>
        <v>296.9999999999996</v>
      </c>
      <c r="C48" s="50">
        <f>C43-C44-C47-C46-C45</f>
        <v>318.5999999999992</v>
      </c>
      <c r="D48" s="50">
        <f>D43-D44-D47-D46-D45</f>
        <v>179.50000000000085</v>
      </c>
      <c r="E48" s="1">
        <f>D48/D43*100</f>
        <v>3.5831204088150916</v>
      </c>
      <c r="F48" s="1">
        <f t="shared" si="6"/>
        <v>60.4377104377108</v>
      </c>
      <c r="G48" s="1">
        <f t="shared" si="4"/>
        <v>56.34023854362877</v>
      </c>
      <c r="H48" s="1">
        <f t="shared" si="7"/>
        <v>117.49999999999875</v>
      </c>
      <c r="I48" s="1">
        <f t="shared" si="5"/>
        <v>139.09999999999837</v>
      </c>
    </row>
    <row r="49" spans="1:9" ht="18.75" thickBot="1">
      <c r="A49" s="28" t="s">
        <v>4</v>
      </c>
      <c r="B49" s="52">
        <v>11077.2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+425.1+40.9-0.1+22.7+0.1+24.3+11.3+269.9+28.5+39.7+30+28.8+11+29</f>
        <v>9918.800000000001</v>
      </c>
      <c r="E49" s="3">
        <f>D49/D137*100</f>
        <v>1.817032013364275</v>
      </c>
      <c r="F49" s="3">
        <f>D49/B49*100</f>
        <v>89.54248366013073</v>
      </c>
      <c r="G49" s="3">
        <f t="shared" si="4"/>
        <v>81.70211363898456</v>
      </c>
      <c r="H49" s="3">
        <f>B49-D49</f>
        <v>1158.3999999999996</v>
      </c>
      <c r="I49" s="3">
        <f t="shared" si="5"/>
        <v>2221.399999999998</v>
      </c>
    </row>
    <row r="50" spans="1:9" ht="18">
      <c r="A50" s="29" t="s">
        <v>3</v>
      </c>
      <c r="B50" s="49">
        <f>6894.1+108.8+11</f>
        <v>7013.900000000001</v>
      </c>
      <c r="C50" s="50">
        <f>7727-234.9+143</f>
        <v>7635.1</v>
      </c>
      <c r="D50" s="51">
        <f>282.8+343.5+279.8+360.5+269.9+364.8-0.1+7.2+231.6+28.9+358.6+269.6+381.2-0.1+7.2+297.2+563.3+0.1+313.9+22.4+240.9+0.1+181.6+201.2+250.5+390.2-0.1+273+392.4+11.3+269.9+29</f>
        <v>6622.299999999998</v>
      </c>
      <c r="E50" s="1">
        <f>D50/D49*100</f>
        <v>66.76513287897727</v>
      </c>
      <c r="F50" s="1">
        <f t="shared" si="6"/>
        <v>94.41680092387969</v>
      </c>
      <c r="G50" s="1">
        <f t="shared" si="4"/>
        <v>86.73494780683943</v>
      </c>
      <c r="H50" s="1">
        <f t="shared" si="7"/>
        <v>391.6000000000022</v>
      </c>
      <c r="I50" s="1">
        <f t="shared" si="5"/>
        <v>1012.800000000002</v>
      </c>
    </row>
    <row r="51" spans="1:9" ht="18">
      <c r="A51" s="29" t="s">
        <v>2</v>
      </c>
      <c r="B51" s="49">
        <v>9.7</v>
      </c>
      <c r="C51" s="50">
        <v>9.7</v>
      </c>
      <c r="D51" s="51">
        <f>0.5+0.8+0.8+2.2</f>
        <v>4.300000000000001</v>
      </c>
      <c r="E51" s="12">
        <f>D51/D49*100</f>
        <v>0.04335201838932129</v>
      </c>
      <c r="F51" s="1">
        <f t="shared" si="6"/>
        <v>44.3298969072165</v>
      </c>
      <c r="G51" s="1">
        <f t="shared" si="4"/>
        <v>44.3298969072165</v>
      </c>
      <c r="H51" s="1">
        <f t="shared" si="7"/>
        <v>5.399999999999999</v>
      </c>
      <c r="I51" s="1">
        <f t="shared" si="5"/>
        <v>5.399999999999999</v>
      </c>
    </row>
    <row r="52" spans="1:9" ht="18">
      <c r="A52" s="29" t="s">
        <v>1</v>
      </c>
      <c r="B52" s="49">
        <v>287.8</v>
      </c>
      <c r="C52" s="50">
        <f>325-2</f>
        <v>323</v>
      </c>
      <c r="D52" s="51">
        <f>2.4+4.2+4.2+8.7+3.1+5.2-0.1+2.3+6.7+7.1+0.1+3.9+3.5+21.5+2.5-0.1+4.3+17.5+11.1+0.7-0.1+5.1+1.5+0.9+0.1+4.4+2.8+10.2+1.2+17.9+18.8</f>
        <v>171.60000000000002</v>
      </c>
      <c r="E52" s="1">
        <f>D52/D49*100</f>
        <v>1.7300479896761707</v>
      </c>
      <c r="F52" s="1">
        <f t="shared" si="6"/>
        <v>59.624739402362756</v>
      </c>
      <c r="G52" s="1">
        <f t="shared" si="4"/>
        <v>53.12693498452013</v>
      </c>
      <c r="H52" s="1">
        <f t="shared" si="7"/>
        <v>116.19999999999999</v>
      </c>
      <c r="I52" s="1">
        <f t="shared" si="5"/>
        <v>151.39999999999998</v>
      </c>
    </row>
    <row r="53" spans="1:9" ht="18">
      <c r="A53" s="29" t="s">
        <v>0</v>
      </c>
      <c r="B53" s="49">
        <f>416.2-11</f>
        <v>405.2</v>
      </c>
      <c r="C53" s="50">
        <f>534.1-3+2</f>
        <v>533.1</v>
      </c>
      <c r="D53" s="51">
        <f>6+11+5+10.4+0.1+20.8+16+0.1+76.5+39.2+7.7+0.3+8.1+0.1+0.2+12-0.1+0.1+4.7+0.1+6.4+2.7+8.2+0.3+5.7+1.7+0.9+0.1+5.2+0.5+0.2+3+0.1-0.1+0.5+6.4+7.8</f>
        <v>267.89999999999986</v>
      </c>
      <c r="E53" s="1">
        <f>D53/D49*100</f>
        <v>2.7009315643021314</v>
      </c>
      <c r="F53" s="1">
        <f t="shared" si="6"/>
        <v>66.11549851924973</v>
      </c>
      <c r="G53" s="1">
        <f t="shared" si="4"/>
        <v>50.253235790658394</v>
      </c>
      <c r="H53" s="1">
        <f t="shared" si="7"/>
        <v>137.30000000000013</v>
      </c>
      <c r="I53" s="1">
        <f t="shared" si="5"/>
        <v>265.20000000000016</v>
      </c>
    </row>
    <row r="54" spans="1:9" ht="18.75" thickBot="1">
      <c r="A54" s="29" t="s">
        <v>35</v>
      </c>
      <c r="B54" s="50">
        <f>B49-B50-B53-B52-B51</f>
        <v>3360.6000000000004</v>
      </c>
      <c r="C54" s="50">
        <f>C49-C50-C53-C52-C51</f>
        <v>3639.299999999999</v>
      </c>
      <c r="D54" s="50">
        <f>D49-D50-D53-D52-D51</f>
        <v>2852.700000000003</v>
      </c>
      <c r="E54" s="1">
        <f>D54/D49*100</f>
        <v>28.76053554865511</v>
      </c>
      <c r="F54" s="1">
        <f t="shared" si="6"/>
        <v>84.88662738796651</v>
      </c>
      <c r="G54" s="1">
        <f t="shared" si="4"/>
        <v>78.38595334267589</v>
      </c>
      <c r="H54" s="1">
        <f t="shared" si="7"/>
        <v>507.89999999999736</v>
      </c>
      <c r="I54" s="1">
        <f>C54-D54</f>
        <v>786.5999999999958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2939.7</v>
      </c>
      <c r="C56" s="53">
        <f>3908.9-890.1+86.2</f>
        <v>3105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+79.3+1.9+45.6+5.3+0.6+4.9+74.4</f>
        <v>2817.100000000001</v>
      </c>
      <c r="E56" s="3">
        <f>D56/D137*100</f>
        <v>0.5160665488616063</v>
      </c>
      <c r="F56" s="3">
        <f>D56/B56*100</f>
        <v>95.82950641221896</v>
      </c>
      <c r="G56" s="3">
        <f t="shared" si="4"/>
        <v>90.72785829307571</v>
      </c>
      <c r="H56" s="3">
        <f>B56-D56</f>
        <v>122.599999999999</v>
      </c>
      <c r="I56" s="3">
        <f t="shared" si="5"/>
        <v>287.8999999999992</v>
      </c>
    </row>
    <row r="57" spans="1:9" ht="18">
      <c r="A57" s="29" t="s">
        <v>3</v>
      </c>
      <c r="B57" s="49">
        <v>1694.4</v>
      </c>
      <c r="C57" s="50">
        <f>2589.6-887.6+7.9+86.2</f>
        <v>1796.1000000000001</v>
      </c>
      <c r="D57" s="51">
        <f>128-60.9+102.5+75.2+87.9+68.6+30+93+68.5+96.9-0.1+67+116.4+112.6+49.7+83+52.4+24.4+26.2+0.2+55.4+42.6+44.2+67.6+0.1+42.3+79.3+45.6+74.4</f>
        <v>1673</v>
      </c>
      <c r="E57" s="1">
        <f>D57/D56*100</f>
        <v>59.387313194419775</v>
      </c>
      <c r="F57" s="1">
        <f t="shared" si="6"/>
        <v>98.73701605288007</v>
      </c>
      <c r="G57" s="1">
        <f t="shared" si="4"/>
        <v>93.14626134402315</v>
      </c>
      <c r="H57" s="1">
        <f t="shared" si="7"/>
        <v>21.40000000000009</v>
      </c>
      <c r="I57" s="1">
        <f t="shared" si="5"/>
        <v>123.10000000000014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6.439246033154661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227.2</v>
      </c>
      <c r="C59" s="50">
        <f>297.4-9.5</f>
        <v>287.9</v>
      </c>
      <c r="D59" s="51">
        <f>4.5+4.5+30.5+35.2+10+24.5+10.2+0.1+1.9+1.8+3+1.2+0.9+0.8+1.4+0.5+1.9+5.3+4.6</f>
        <v>142.80000000000004</v>
      </c>
      <c r="E59" s="1">
        <f>D59/D56*100</f>
        <v>5.069042632494409</v>
      </c>
      <c r="F59" s="1">
        <f t="shared" si="6"/>
        <v>62.85211267605636</v>
      </c>
      <c r="G59" s="1">
        <f t="shared" si="4"/>
        <v>49.60055574852381</v>
      </c>
      <c r="H59" s="1">
        <f t="shared" si="7"/>
        <v>84.39999999999995</v>
      </c>
      <c r="I59" s="1">
        <f t="shared" si="5"/>
        <v>145.09999999999994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25.852827375670014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108.39999999999972</v>
      </c>
      <c r="C61" s="50">
        <f>C56-C57-C59-C60-C58</f>
        <v>111.29999999999981</v>
      </c>
      <c r="D61" s="50">
        <f>D56-D57-D59-D60-D58</f>
        <v>91.60000000000068</v>
      </c>
      <c r="E61" s="1">
        <f>D61/D56*100</f>
        <v>3.251570764261143</v>
      </c>
      <c r="F61" s="1">
        <f t="shared" si="6"/>
        <v>84.50184501845102</v>
      </c>
      <c r="G61" s="1">
        <f t="shared" si="4"/>
        <v>82.30008984726041</v>
      </c>
      <c r="H61" s="1">
        <f t="shared" si="7"/>
        <v>16.799999999999045</v>
      </c>
      <c r="I61" s="1">
        <f t="shared" si="5"/>
        <v>19.699999999999136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313.50000000000006</v>
      </c>
      <c r="C66" s="53">
        <f>C67+C68</f>
        <v>350.2</v>
      </c>
      <c r="D66" s="54">
        <f>SUM(D67:D68)</f>
        <v>1.4</v>
      </c>
      <c r="E66" s="42">
        <f>D66/D137*100</f>
        <v>0.000256466993861151</v>
      </c>
      <c r="F66" s="113">
        <f>D66/B66*100</f>
        <v>0.44657097288676223</v>
      </c>
      <c r="G66" s="3">
        <f t="shared" si="4"/>
        <v>0.3997715591090805</v>
      </c>
      <c r="H66" s="3">
        <f>B66-D66</f>
        <v>312.1000000000001</v>
      </c>
      <c r="I66" s="3">
        <f t="shared" si="5"/>
        <v>348.8</v>
      </c>
    </row>
    <row r="67" spans="1:9" ht="18">
      <c r="A67" s="29" t="s">
        <v>8</v>
      </c>
      <c r="B67" s="49">
        <f>314.1-6.4</f>
        <v>307.70000000000005</v>
      </c>
      <c r="C67" s="50">
        <f>257.4+70.7-6.4</f>
        <v>321.7</v>
      </c>
      <c r="D67" s="51">
        <f>1.4</f>
        <v>1.4</v>
      </c>
      <c r="E67" s="1"/>
      <c r="F67" s="1">
        <f t="shared" si="6"/>
        <v>0.4549886252843678</v>
      </c>
      <c r="G67" s="1">
        <f t="shared" si="4"/>
        <v>0.4351880634131178</v>
      </c>
      <c r="H67" s="1">
        <f t="shared" si="7"/>
        <v>306.30000000000007</v>
      </c>
      <c r="I67" s="1">
        <f t="shared" si="5"/>
        <v>320.3</v>
      </c>
    </row>
    <row r="68" spans="1:9" ht="18.75" thickBot="1">
      <c r="A68" s="29" t="s">
        <v>9</v>
      </c>
      <c r="B68" s="49">
        <f>24.9-4.6-14.5</f>
        <v>5.799999999999997</v>
      </c>
      <c r="C68" s="50">
        <f>202.6-17.6-66.7-70.7-4.6-14.5</f>
        <v>28.499999999999993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5.799999999999997</v>
      </c>
      <c r="I68" s="1">
        <f t="shared" si="5"/>
        <v>28.499999999999993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366.6</v>
      </c>
      <c r="C74" s="69">
        <v>400</v>
      </c>
      <c r="D74" s="70"/>
      <c r="E74" s="48"/>
      <c r="F74" s="48"/>
      <c r="G74" s="48"/>
      <c r="H74" s="48">
        <f>B74-D74</f>
        <v>366.6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f>41110.6-79.4-22.1</f>
        <v>41009.1</v>
      </c>
      <c r="C87" s="53">
        <f>44816.4+146.6-881.6-177.9</f>
        <v>43903.5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+160.8+738.4+677.5+0.6+0.1+2.5+5.5+21.7+2.8+6.8+855.5+390.1+37.5+16.6+69+675.8+161.3</f>
        <v>37743.40000000001</v>
      </c>
      <c r="E87" s="3">
        <f>D87/D137*100</f>
        <v>6.9142402400706935</v>
      </c>
      <c r="F87" s="3">
        <f aca="true" t="shared" si="10" ref="F87:F92">D87/B87*100</f>
        <v>92.03664552501765</v>
      </c>
      <c r="G87" s="3">
        <f t="shared" si="8"/>
        <v>85.96900019360645</v>
      </c>
      <c r="H87" s="3">
        <f aca="true" t="shared" si="11" ref="H87:H92">B87-D87</f>
        <v>3265.69999999999</v>
      </c>
      <c r="I87" s="3">
        <f t="shared" si="9"/>
        <v>6160.099999999991</v>
      </c>
    </row>
    <row r="88" spans="1:9" ht="18">
      <c r="A88" s="29" t="s">
        <v>3</v>
      </c>
      <c r="B88" s="49">
        <f>34562.5-3-79.4</f>
        <v>34480.1</v>
      </c>
      <c r="C88" s="50">
        <f>38623.9-611.6-765.9-268+22.1</f>
        <v>37000.5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+160.8+738.2+677.5+0.3+2.8+2.3+849.3+369.5+7.5+613.7+161.3</f>
        <v>32706.299999999996</v>
      </c>
      <c r="E88" s="1">
        <f>D88/D87*100</f>
        <v>86.65435546347173</v>
      </c>
      <c r="F88" s="1">
        <f t="shared" si="10"/>
        <v>94.85558336547747</v>
      </c>
      <c r="G88" s="1">
        <f t="shared" si="8"/>
        <v>88.39421088904203</v>
      </c>
      <c r="H88" s="1">
        <f t="shared" si="11"/>
        <v>1773.800000000003</v>
      </c>
      <c r="I88" s="1">
        <f t="shared" si="9"/>
        <v>4294.200000000004</v>
      </c>
    </row>
    <row r="89" spans="1:9" ht="18">
      <c r="A89" s="29" t="s">
        <v>33</v>
      </c>
      <c r="B89" s="49">
        <f>1723.8-22.1</f>
        <v>1701.7</v>
      </c>
      <c r="C89" s="50">
        <f>1866.3+51.3-87.4+169.5-22.1</f>
        <v>1977.6</v>
      </c>
      <c r="D89" s="51">
        <f>125+55.5+51.3+1.7-0.1+10.4+5.3+280.6+162.7+2.2+25.3+117.8+56.8+64.4+1.4+31+7.8+37.2+1.9+36.4+8.8+1+3.9+10.1+30.1+1.8+10.7+4.2+23.3+14.3+12.2+6+2.6+0.2+2.5+21.4+6.2+3.4+12</f>
        <v>1249.3000000000002</v>
      </c>
      <c r="E89" s="1">
        <f>D89/D87*100</f>
        <v>3.309982672467239</v>
      </c>
      <c r="F89" s="1">
        <f t="shared" si="10"/>
        <v>73.41482047364401</v>
      </c>
      <c r="G89" s="1">
        <f t="shared" si="8"/>
        <v>63.172532362459556</v>
      </c>
      <c r="H89" s="1">
        <f t="shared" si="11"/>
        <v>452.39999999999986</v>
      </c>
      <c r="I89" s="1">
        <f t="shared" si="9"/>
        <v>728.2999999999997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4827.3</v>
      </c>
      <c r="C91" s="50">
        <f>C87-C88-C89-C90</f>
        <v>4925.4</v>
      </c>
      <c r="D91" s="50">
        <f>D87-D88-D89-D90</f>
        <v>3787.800000000013</v>
      </c>
      <c r="E91" s="1">
        <f>D91/D87*100</f>
        <v>10.035661864061034</v>
      </c>
      <c r="F91" s="1">
        <f t="shared" si="10"/>
        <v>78.46622335467057</v>
      </c>
      <c r="G91" s="1">
        <f>D91/C91*100</f>
        <v>76.90339870873458</v>
      </c>
      <c r="H91" s="1">
        <f t="shared" si="11"/>
        <v>1039.4999999999873</v>
      </c>
      <c r="I91" s="1">
        <f>C91-D91</f>
        <v>1137.5999999999867</v>
      </c>
    </row>
    <row r="92" spans="1:9" ht="19.5" thickBot="1">
      <c r="A92" s="14" t="s">
        <v>12</v>
      </c>
      <c r="B92" s="61">
        <f>40945.9-360</f>
        <v>40585.9</v>
      </c>
      <c r="C92" s="72">
        <f>39290.3+3989.1-27-360</f>
        <v>42892.4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+50+390.7+47.5+166+305.6+50+250+100+350+412+200+80.4+300+100+130+90+250+250</f>
        <v>32289.000000000007</v>
      </c>
      <c r="E92" s="3">
        <f>D92/D137*100</f>
        <v>5.9150448319876485</v>
      </c>
      <c r="F92" s="3">
        <f t="shared" si="10"/>
        <v>79.55718611636063</v>
      </c>
      <c r="G92" s="3">
        <f>D92/C92*100</f>
        <v>75.27907041806941</v>
      </c>
      <c r="H92" s="3">
        <f t="shared" si="11"/>
        <v>8296.899999999994</v>
      </c>
      <c r="I92" s="3">
        <f>C92-D92</f>
        <v>10603.399999999994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f>5770.6+358-2.2</f>
        <v>6126.400000000001</v>
      </c>
      <c r="C98" s="106">
        <f>5290.2+873.6+17.6+66.7+358-2.2</f>
        <v>6603.900000000001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+6.7+3.9+26+30.4+4+66+86.5</f>
        <v>4791.399999999998</v>
      </c>
      <c r="E98" s="25">
        <f>D98/D137*100</f>
        <v>0.877739967418799</v>
      </c>
      <c r="F98" s="25">
        <f>D98/B98*100</f>
        <v>78.20906241838595</v>
      </c>
      <c r="G98" s="25">
        <f aca="true" t="shared" si="12" ref="G98:G135">D98/C98*100</f>
        <v>72.55409682157509</v>
      </c>
      <c r="H98" s="25">
        <f aca="true" t="shared" si="13" ref="H98:H103">B98-D98</f>
        <v>1335.0000000000027</v>
      </c>
      <c r="I98" s="25">
        <f aca="true" t="shared" si="14" ref="I98:I135">C98-D98</f>
        <v>1812.5000000000027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0.3172350461243062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f>5357.1+354.8-2.2</f>
        <v>5709.700000000001</v>
      </c>
      <c r="C100" s="51">
        <f>5711.4+17.6+66.7-0.6-0.1+354.8-2.2</f>
        <v>6147.599999999999</v>
      </c>
      <c r="D100" s="51">
        <f>3302.1+5.1+16.7+151+216.3+17.4+13.8+53.7+7.6+119.5+15.5+6.4+75+28.9+153.8+9.3+9.1+11.7+14.3+26.2+6.6+3.9+0.2+30.1+4+24.7+86.2</f>
        <v>4409.1</v>
      </c>
      <c r="E100" s="1">
        <f>D100/D98*100</f>
        <v>92.02112117543938</v>
      </c>
      <c r="F100" s="1">
        <f aca="true" t="shared" si="15" ref="F100:F135">D100/B100*100</f>
        <v>77.22122002907332</v>
      </c>
      <c r="G100" s="1">
        <f t="shared" si="12"/>
        <v>71.7206714815538</v>
      </c>
      <c r="H100" s="1">
        <f t="shared" si="13"/>
        <v>1300.6000000000004</v>
      </c>
      <c r="I100" s="1">
        <f t="shared" si="14"/>
        <v>1738.499999999999</v>
      </c>
    </row>
    <row r="101" spans="1:9" ht="54.75" thickBot="1">
      <c r="A101" s="99" t="s">
        <v>107</v>
      </c>
      <c r="B101" s="101">
        <v>413.7</v>
      </c>
      <c r="C101" s="101">
        <v>460.1</v>
      </c>
      <c r="D101" s="101">
        <f>17.7+41.2+3+5.2+16.9+34.4+10.6+13.9+13.1+2.6+3.8+6.5+29.2+10.8+9.4+3.9+11.8+1.3+6.7+3.9-5</f>
        <v>240.90000000000003</v>
      </c>
      <c r="E101" s="97">
        <f>D101/D98*100</f>
        <v>5.027758066535879</v>
      </c>
      <c r="F101" s="97">
        <f>D101/B101*100</f>
        <v>58.23060188542423</v>
      </c>
      <c r="G101" s="97">
        <f>D101/C101*100</f>
        <v>52.35818300369486</v>
      </c>
      <c r="H101" s="97">
        <f t="shared" si="13"/>
        <v>172.79999999999995</v>
      </c>
      <c r="I101" s="97">
        <f>C101-D101</f>
        <v>219.2</v>
      </c>
    </row>
    <row r="102" spans="1:9" ht="18.75" thickBot="1">
      <c r="A102" s="99" t="s">
        <v>35</v>
      </c>
      <c r="B102" s="101">
        <f>B98-B99-B100</f>
        <v>401.5</v>
      </c>
      <c r="C102" s="101">
        <f>C98-C99-C100</f>
        <v>441.1000000000013</v>
      </c>
      <c r="D102" s="101">
        <f>D98-D99-D100</f>
        <v>367.09999999999764</v>
      </c>
      <c r="E102" s="97">
        <f>D102/D98*100</f>
        <v>7.66164377843632</v>
      </c>
      <c r="F102" s="97">
        <f t="shared" si="15"/>
        <v>91.4321295143207</v>
      </c>
      <c r="G102" s="97">
        <f t="shared" si="12"/>
        <v>83.22375878485526</v>
      </c>
      <c r="H102" s="97">
        <f>B102-D102</f>
        <v>34.400000000002365</v>
      </c>
      <c r="I102" s="97">
        <f t="shared" si="14"/>
        <v>74.00000000000364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16638.399999999998</v>
      </c>
      <c r="C103" s="94">
        <f>SUM(C104:C134)-C111-C115+C135-C130-C131-C105-C108-C118-C119</f>
        <v>17171.699999999997</v>
      </c>
      <c r="D103" s="94">
        <f>SUM(D104:D134)-D111-D115+D135-D130-D131-D105-D108-D118-D119</f>
        <v>13182.800000000001</v>
      </c>
      <c r="E103" s="95">
        <f>D103/D137*100</f>
        <v>2.4149664904805586</v>
      </c>
      <c r="F103" s="95">
        <f>D103/B103*100</f>
        <v>79.23117607462258</v>
      </c>
      <c r="G103" s="95">
        <f t="shared" si="12"/>
        <v>76.77050029991209</v>
      </c>
      <c r="H103" s="95">
        <f t="shared" si="13"/>
        <v>3455.5999999999967</v>
      </c>
      <c r="I103" s="95">
        <f t="shared" si="14"/>
        <v>3988.899999999996</v>
      </c>
    </row>
    <row r="104" spans="1:9" ht="37.5">
      <c r="A104" s="34" t="s">
        <v>69</v>
      </c>
      <c r="B104" s="79">
        <v>1262</v>
      </c>
      <c r="C104" s="75">
        <f>1869.9-400</f>
        <v>1469.9</v>
      </c>
      <c r="D104" s="80">
        <f>1.4+20.1+85.2+143.2+49+97.4+39.5+2.1+10+69.9+14+22.7+50+22.1+4.6+24.2+39.7+15.7+20</f>
        <v>730.8000000000002</v>
      </c>
      <c r="E104" s="6">
        <f>D104/D103*100</f>
        <v>5.543587098340262</v>
      </c>
      <c r="F104" s="6">
        <f t="shared" si="15"/>
        <v>57.90808240887482</v>
      </c>
      <c r="G104" s="6">
        <f t="shared" si="12"/>
        <v>49.7176678685625</v>
      </c>
      <c r="H104" s="6">
        <f aca="true" t="shared" si="16" ref="H104:H135">B104-D104</f>
        <v>531.1999999999998</v>
      </c>
      <c r="I104" s="6">
        <f t="shared" si="14"/>
        <v>739.0999999999999</v>
      </c>
    </row>
    <row r="105" spans="1:9" ht="18">
      <c r="A105" s="29" t="s">
        <v>33</v>
      </c>
      <c r="B105" s="82">
        <v>746.3</v>
      </c>
      <c r="C105" s="51">
        <f>1242.6+0.7-337</f>
        <v>906.3</v>
      </c>
      <c r="D105" s="83">
        <f>1.4+85.2+143.2+49+2.1+10+14+22.7+19.6+15.7</f>
        <v>362.90000000000003</v>
      </c>
      <c r="E105" s="1"/>
      <c r="F105" s="1">
        <f t="shared" si="15"/>
        <v>48.62655768457726</v>
      </c>
      <c r="G105" s="1">
        <f t="shared" si="12"/>
        <v>40.04192872117401</v>
      </c>
      <c r="H105" s="1">
        <f t="shared" si="16"/>
        <v>383.3999999999999</v>
      </c>
      <c r="I105" s="1">
        <f t="shared" si="14"/>
        <v>543.3999999999999</v>
      </c>
    </row>
    <row r="106" spans="1:9" ht="34.5" customHeight="1">
      <c r="A106" s="17" t="s">
        <v>106</v>
      </c>
      <c r="B106" s="81">
        <v>857.5</v>
      </c>
      <c r="C106" s="68">
        <v>857.5</v>
      </c>
      <c r="D106" s="80">
        <f>4.7+37.5+79.8+33.7</f>
        <v>155.7</v>
      </c>
      <c r="E106" s="6">
        <f>D106/D103*100</f>
        <v>1.1810844433655976</v>
      </c>
      <c r="F106" s="6">
        <f>D106/B106*100</f>
        <v>18.15743440233236</v>
      </c>
      <c r="G106" s="6">
        <f t="shared" si="12"/>
        <v>18.15743440233236</v>
      </c>
      <c r="H106" s="6">
        <f t="shared" si="16"/>
        <v>701.8</v>
      </c>
      <c r="I106" s="6">
        <f t="shared" si="14"/>
        <v>701.8</v>
      </c>
    </row>
    <row r="107" spans="1:9" ht="34.5" customHeight="1">
      <c r="A107" s="17" t="s">
        <v>78</v>
      </c>
      <c r="B107" s="81">
        <v>60</v>
      </c>
      <c r="C107" s="68">
        <f>36.5+27</f>
        <v>63.5</v>
      </c>
      <c r="D107" s="80">
        <f>7.4</f>
        <v>7.4</v>
      </c>
      <c r="E107" s="6">
        <f>D107/D103*100</f>
        <v>0.056133750037928205</v>
      </c>
      <c r="F107" s="6">
        <f t="shared" si="15"/>
        <v>12.333333333333334</v>
      </c>
      <c r="G107" s="6">
        <f t="shared" si="12"/>
        <v>11.653543307086615</v>
      </c>
      <c r="H107" s="6">
        <f t="shared" si="16"/>
        <v>52.6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69.1</v>
      </c>
      <c r="C109" s="68">
        <v>75.5</v>
      </c>
      <c r="D109" s="80">
        <f>5.5+5.5+5.5-0.1+5.5+5.5+5.5+5.5-0.1+5.5+5.5-0.1+5.5</f>
        <v>54.699999999999996</v>
      </c>
      <c r="E109" s="6">
        <f>D109/D103*100</f>
        <v>0.41493461176684765</v>
      </c>
      <c r="F109" s="6">
        <f t="shared" si="15"/>
        <v>79.16063675832127</v>
      </c>
      <c r="G109" s="6">
        <f t="shared" si="12"/>
        <v>72.4503311258278</v>
      </c>
      <c r="H109" s="6">
        <f t="shared" si="16"/>
        <v>14.399999999999999</v>
      </c>
      <c r="I109" s="6">
        <f t="shared" si="14"/>
        <v>20.800000000000004</v>
      </c>
    </row>
    <row r="110" spans="1:9" ht="37.5">
      <c r="A110" s="17" t="s">
        <v>47</v>
      </c>
      <c r="B110" s="81">
        <v>959.1</v>
      </c>
      <c r="C110" s="68">
        <v>1050</v>
      </c>
      <c r="D110" s="80">
        <f>149.7+2.5+4.1+81.3+2.1+67.3+8+8.2+93.7+3.3+1.1+74.6+81.4+0.6+75.3+2.1+80.5+10.7+71.3+4+7.4</f>
        <v>829.1999999999999</v>
      </c>
      <c r="E110" s="6">
        <f>D110/D103*100</f>
        <v>6.290014261006766</v>
      </c>
      <c r="F110" s="6">
        <f t="shared" si="15"/>
        <v>86.45605254926492</v>
      </c>
      <c r="G110" s="6">
        <f t="shared" si="12"/>
        <v>78.97142857142858</v>
      </c>
      <c r="H110" s="6">
        <f t="shared" si="16"/>
        <v>129.9000000000001</v>
      </c>
      <c r="I110" s="6">
        <f t="shared" si="14"/>
        <v>220.80000000000007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64.5</v>
      </c>
      <c r="C112" s="60">
        <f>51.6+22.9-10</f>
        <v>64.5</v>
      </c>
      <c r="D112" s="84">
        <f>22.9</f>
        <v>22.9</v>
      </c>
      <c r="E112" s="19">
        <f>D112/D103*100</f>
        <v>0.17371119944169675</v>
      </c>
      <c r="F112" s="6">
        <f t="shared" si="15"/>
        <v>35.50387596899224</v>
      </c>
      <c r="G112" s="19">
        <f t="shared" si="12"/>
        <v>35.50387596899224</v>
      </c>
      <c r="H112" s="19">
        <f t="shared" si="16"/>
        <v>41.6</v>
      </c>
      <c r="I112" s="19">
        <f t="shared" si="14"/>
        <v>41.6</v>
      </c>
    </row>
    <row r="113" spans="1:9" ht="37.5">
      <c r="A113" s="17" t="s">
        <v>60</v>
      </c>
      <c r="B113" s="81">
        <v>216.3</v>
      </c>
      <c r="C113" s="68">
        <f>488.6-250</f>
        <v>238.60000000000002</v>
      </c>
      <c r="D113" s="80">
        <f>4.9+70</f>
        <v>74.9</v>
      </c>
      <c r="E113" s="6">
        <f>D113/D103*100</f>
        <v>0.5681645780865977</v>
      </c>
      <c r="F113" s="6">
        <f>D113/B113*100</f>
        <v>34.627831715210355</v>
      </c>
      <c r="G113" s="6">
        <f t="shared" si="12"/>
        <v>31.391450125733446</v>
      </c>
      <c r="H113" s="6">
        <f t="shared" si="16"/>
        <v>141.4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178</v>
      </c>
      <c r="C114" s="60">
        <f>153.4+26.9</f>
        <v>180.3</v>
      </c>
      <c r="D114" s="80">
        <f>13.5+13.4+14.3+0.8+6.9+0.4+13.5-0.1+0.8+0.5+2+13.5-0.1+0.1+13.9+0.3+2.4+13.5+0.3+6.3+13.5+3.9+0.8+13.5+13.5</f>
        <v>161.4</v>
      </c>
      <c r="E114" s="6">
        <f>D114/D103*100</f>
        <v>1.2243226021785962</v>
      </c>
      <c r="F114" s="6">
        <f t="shared" si="15"/>
        <v>90.67415730337079</v>
      </c>
      <c r="G114" s="6">
        <f t="shared" si="12"/>
        <v>89.51747088186356</v>
      </c>
      <c r="H114" s="6">
        <f t="shared" si="16"/>
        <v>16.599999999999994</v>
      </c>
      <c r="I114" s="6">
        <f t="shared" si="14"/>
        <v>18.900000000000006</v>
      </c>
    </row>
    <row r="115" spans="1:9" s="39" customFormat="1" ht="18">
      <c r="A115" s="40" t="s">
        <v>54</v>
      </c>
      <c r="B115" s="82">
        <v>148.2</v>
      </c>
      <c r="C115" s="51">
        <f>121.2+27</f>
        <v>148.2</v>
      </c>
      <c r="D115" s="83">
        <f>13.5+13.4+13.5+13.5+13.4+13.5+13.5+13.5+13.5+13.5</f>
        <v>134.8</v>
      </c>
      <c r="E115" s="1"/>
      <c r="F115" s="1">
        <f t="shared" si="15"/>
        <v>90.95816464237518</v>
      </c>
      <c r="G115" s="1">
        <f t="shared" si="12"/>
        <v>90.95816464237518</v>
      </c>
      <c r="H115" s="1">
        <f t="shared" si="16"/>
        <v>13.399999999999977</v>
      </c>
      <c r="I115" s="1">
        <f t="shared" si="14"/>
        <v>13.399999999999977</v>
      </c>
    </row>
    <row r="116" spans="1:9" s="2" customFormat="1" ht="18.75">
      <c r="A116" s="17" t="s">
        <v>25</v>
      </c>
      <c r="B116" s="81">
        <v>291.7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291.7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734.7</v>
      </c>
      <c r="C117" s="60">
        <f>94.7+700</f>
        <v>794.7</v>
      </c>
      <c r="D117" s="84">
        <f>16.2+3.7+20.7+6.7+10.5</f>
        <v>57.8</v>
      </c>
      <c r="E117" s="19">
        <f>D117/D103*100</f>
        <v>0.4384501016476014</v>
      </c>
      <c r="F117" s="6">
        <f t="shared" si="15"/>
        <v>7.867156662583366</v>
      </c>
      <c r="G117" s="6">
        <f t="shared" si="12"/>
        <v>7.27318484962879</v>
      </c>
      <c r="H117" s="6">
        <f t="shared" si="16"/>
        <v>676.9000000000001</v>
      </c>
      <c r="I117" s="6">
        <f t="shared" si="14"/>
        <v>736.9000000000001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f>1661.4+19</f>
        <v>1680.4</v>
      </c>
      <c r="C120" s="60">
        <v>1700.1</v>
      </c>
      <c r="D120" s="84">
        <f>196.6+25+11.8+12.7+6.1+3.1+261.8+113.5+10.8+196.3+110+87.9+5.6+129.1+50</f>
        <v>1220.3</v>
      </c>
      <c r="E120" s="19">
        <f>D120/D103*100</f>
        <v>9.256758806930241</v>
      </c>
      <c r="F120" s="6">
        <f t="shared" si="15"/>
        <v>72.61961437752915</v>
      </c>
      <c r="G120" s="6">
        <f t="shared" si="12"/>
        <v>71.77813069819422</v>
      </c>
      <c r="H120" s="6">
        <f t="shared" si="16"/>
        <v>460.10000000000014</v>
      </c>
      <c r="I120" s="6">
        <f t="shared" si="14"/>
        <v>479.79999999999995</v>
      </c>
    </row>
    <row r="121" spans="1:9" s="2" customFormat="1" ht="56.25">
      <c r="A121" s="17" t="s">
        <v>56</v>
      </c>
      <c r="B121" s="81">
        <v>156.3</v>
      </c>
      <c r="C121" s="60">
        <f>157.1+1.2</f>
        <v>158.29999999999998</v>
      </c>
      <c r="D121" s="84">
        <f>3.8+0.6</f>
        <v>4.3999999999999995</v>
      </c>
      <c r="E121" s="19">
        <f>D121/D103*100</f>
        <v>0.03337682434687623</v>
      </c>
      <c r="F121" s="6">
        <f t="shared" si="15"/>
        <v>2.8150991682661544</v>
      </c>
      <c r="G121" s="6">
        <f t="shared" si="12"/>
        <v>2.779532533164877</v>
      </c>
      <c r="H121" s="6">
        <f t="shared" si="16"/>
        <v>151.9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0.37321358133325233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18.3+9.7+14.1+4</f>
        <v>46.1</v>
      </c>
      <c r="E124" s="19">
        <f>D124/D103*100</f>
        <v>0.3496980914524987</v>
      </c>
      <c r="F124" s="6">
        <f t="shared" si="15"/>
        <v>54.42739079102715</v>
      </c>
      <c r="G124" s="6">
        <f t="shared" si="12"/>
        <v>54.42739079102715</v>
      </c>
      <c r="H124" s="6">
        <f t="shared" si="16"/>
        <v>38.6</v>
      </c>
      <c r="I124" s="6">
        <f t="shared" si="14"/>
        <v>38.6</v>
      </c>
    </row>
    <row r="125" spans="1:9" s="2" customFormat="1" ht="18.75">
      <c r="A125" s="17" t="s">
        <v>75</v>
      </c>
      <c r="B125" s="81">
        <v>178.8</v>
      </c>
      <c r="C125" s="60">
        <v>178.8</v>
      </c>
      <c r="D125" s="84">
        <f>7.2+1.4+9.3+6.8+7.7+4.3+1.8+6+21.8+13.1+2.5+17+2.4+20.7+0.2+12.9+12.9</f>
        <v>148</v>
      </c>
      <c r="E125" s="19">
        <f>D125/D103*100</f>
        <v>1.1226750007585642</v>
      </c>
      <c r="F125" s="6">
        <f t="shared" si="15"/>
        <v>82.77404921700223</v>
      </c>
      <c r="G125" s="6">
        <f t="shared" si="12"/>
        <v>82.77404921700223</v>
      </c>
      <c r="H125" s="6">
        <f t="shared" si="16"/>
        <v>30.80000000000001</v>
      </c>
      <c r="I125" s="6">
        <f t="shared" si="14"/>
        <v>30.80000000000001</v>
      </c>
    </row>
    <row r="126" spans="1:9" s="2" customFormat="1" ht="35.25" customHeight="1">
      <c r="A126" s="17" t="s">
        <v>74</v>
      </c>
      <c r="B126" s="81">
        <v>64.1</v>
      </c>
      <c r="C126" s="60">
        <v>67.6</v>
      </c>
      <c r="D126" s="84">
        <f>0.5+1.5+0.1+14.8</f>
        <v>16.900000000000002</v>
      </c>
      <c r="E126" s="19">
        <f>D126/D103*100</f>
        <v>0.12819734805959282</v>
      </c>
      <c r="F126" s="6">
        <f t="shared" si="15"/>
        <v>26.36505460218409</v>
      </c>
      <c r="G126" s="6">
        <f t="shared" si="12"/>
        <v>25.000000000000007</v>
      </c>
      <c r="H126" s="6">
        <f t="shared" si="16"/>
        <v>47.19999999999999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v>20</v>
      </c>
      <c r="C127" s="60">
        <f>60-40</f>
        <v>20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20</v>
      </c>
      <c r="I127" s="6">
        <f t="shared" si="14"/>
        <v>20</v>
      </c>
    </row>
    <row r="128" spans="1:9" s="2" customFormat="1" ht="18.75">
      <c r="A128" s="17" t="s">
        <v>101</v>
      </c>
      <c r="B128" s="81">
        <v>50.4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50.4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798.4</v>
      </c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21.4+1.2+34.6+22.6+3.4+31.2+5.1+22.6+3+44.8+0.2+32.7+27.3+30.6+3.7+29.7+4.3+33.6+0.1+0.1+6.3+25.5+0.4+38.4+0.1+0.3+0.6+29.7+0.1+36.6+5.6+24.5+3.6+36.9+0.1+40+14.7+5+25+0.1+0.6+0.1+28.8+7.1+33.8+0.1+35.1</f>
        <v>751.3000000000003</v>
      </c>
      <c r="E129" s="19">
        <f>D129/D103*100</f>
        <v>5.699092757229119</v>
      </c>
      <c r="F129" s="6">
        <f t="shared" si="15"/>
        <v>94.10070140280565</v>
      </c>
      <c r="G129" s="6">
        <f t="shared" si="12"/>
        <v>86.53536051601016</v>
      </c>
      <c r="H129" s="6">
        <f t="shared" si="16"/>
        <v>47.09999999999968</v>
      </c>
      <c r="I129" s="6">
        <f t="shared" si="14"/>
        <v>116.89999999999975</v>
      </c>
    </row>
    <row r="130" spans="1:9" s="39" customFormat="1" ht="18">
      <c r="A130" s="40" t="s">
        <v>54</v>
      </c>
      <c r="B130" s="82">
        <v>690.1</v>
      </c>
      <c r="C130" s="51">
        <v>747.1</v>
      </c>
      <c r="D130" s="83">
        <f>21.4+1.2+34.6+22.6+31.2+22.6+44.8+0.2+32.7+30.6+29.7+33.6+24.3+38.4+29.7+36.6+5.6+24.5+36.9+39.8+25+0.6+28.8+33.8+33.8</f>
        <v>662.9999999999999</v>
      </c>
      <c r="E130" s="1">
        <f>D130/D129*100</f>
        <v>88.24703846665774</v>
      </c>
      <c r="F130" s="1">
        <f>D130/B130*100</f>
        <v>96.07303289378349</v>
      </c>
      <c r="G130" s="1">
        <f t="shared" si="12"/>
        <v>88.74314014188192</v>
      </c>
      <c r="H130" s="1">
        <f t="shared" si="16"/>
        <v>27.100000000000136</v>
      </c>
      <c r="I130" s="1">
        <f t="shared" si="14"/>
        <v>84.10000000000014</v>
      </c>
    </row>
    <row r="131" spans="1:9" s="39" customFormat="1" ht="18">
      <c r="A131" s="29" t="s">
        <v>33</v>
      </c>
      <c r="B131" s="82">
        <v>19.9</v>
      </c>
      <c r="C131" s="51">
        <f>27.4-3</f>
        <v>24.4</v>
      </c>
      <c r="D131" s="83">
        <f>3.4+3+2.7+1.6-0.1+0.1+0.1+0.1+0.1+0.1+1.3</f>
        <v>12.4</v>
      </c>
      <c r="E131" s="1">
        <f>D131/D129*100</f>
        <v>1.6504725143085313</v>
      </c>
      <c r="F131" s="1">
        <f>D131/B131*100</f>
        <v>62.311557788944725</v>
      </c>
      <c r="G131" s="1">
        <f>D131/C131*100</f>
        <v>50.81967213114754</v>
      </c>
      <c r="H131" s="1">
        <f t="shared" si="16"/>
        <v>7.499999999999998</v>
      </c>
      <c r="I131" s="1">
        <f t="shared" si="14"/>
        <v>11.999999999999998</v>
      </c>
    </row>
    <row r="132" spans="1:9" s="2" customFormat="1" ht="18.75">
      <c r="A132" s="17" t="s">
        <v>27</v>
      </c>
      <c r="B132" s="81">
        <v>8376</v>
      </c>
      <c r="C132" s="60">
        <v>8376</v>
      </c>
      <c r="D132" s="84">
        <f>1513.1+580.9+2094+2094+2094</f>
        <v>8376</v>
      </c>
      <c r="E132" s="19">
        <f>D132/D103*100</f>
        <v>63.53733652941711</v>
      </c>
      <c r="F132" s="6">
        <f t="shared" si="15"/>
        <v>100</v>
      </c>
      <c r="G132" s="6">
        <f t="shared" si="12"/>
        <v>100</v>
      </c>
      <c r="H132" s="6">
        <f t="shared" si="16"/>
        <v>0</v>
      </c>
      <c r="I132" s="6">
        <f t="shared" si="14"/>
        <v>0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3.6092484146008434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>
      <c r="A134" s="17" t="s">
        <v>67</v>
      </c>
      <c r="B134" s="81">
        <v>10.6</v>
      </c>
      <c r="C134" s="60">
        <v>10.6</v>
      </c>
      <c r="D134" s="84"/>
      <c r="E134" s="19">
        <f>D134/D103*100</f>
        <v>0</v>
      </c>
      <c r="F134" s="6"/>
      <c r="G134" s="6">
        <f t="shared" si="12"/>
        <v>0</v>
      </c>
      <c r="H134" s="6">
        <f t="shared" si="16"/>
        <v>10.6</v>
      </c>
      <c r="I134" s="6">
        <f t="shared" si="14"/>
        <v>10.6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24246.399999999998</v>
      </c>
      <c r="C136" s="85">
        <f>C41+C66+C69+C74+C76+C84+C98+C103+C96+C81+C94</f>
        <v>25355.199999999997</v>
      </c>
      <c r="D136" s="60">
        <f>D41+D66+D69+D74+D76+D84+D98+D103+D96+D81+D94</f>
        <v>18509.1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595878</v>
      </c>
      <c r="C137" s="54">
        <f>C6+C17+C31+C41+C49+C56+C66+C69+C74+C76+C84+C87+C92+C98+C103+C96+C81+C94+C43</f>
        <v>624159.8</v>
      </c>
      <c r="D137" s="54">
        <f>D6+D17+D31+D41+D49+D56+D66+D69+D74+D76+D84+D87+D92+D98+D103+D96+D81+D94+D43</f>
        <v>545879.2100000001</v>
      </c>
      <c r="E137" s="38">
        <v>100</v>
      </c>
      <c r="F137" s="3">
        <f>D137/B137*100</f>
        <v>91.6092237001534</v>
      </c>
      <c r="G137" s="3">
        <f aca="true" t="shared" si="17" ref="G137:G143">D137/C137*100</f>
        <v>87.45824546854828</v>
      </c>
      <c r="H137" s="3">
        <f aca="true" t="shared" si="18" ref="H137:H143">B137-D137</f>
        <v>49998.78999999992</v>
      </c>
      <c r="I137" s="3">
        <f aca="true" t="shared" si="19" ref="I137:I143">C137-D137</f>
        <v>78280.58999999997</v>
      </c>
      <c r="K137" s="46"/>
      <c r="L137" s="47"/>
    </row>
    <row r="138" spans="1:12" ht="18.75">
      <c r="A138" s="23" t="s">
        <v>5</v>
      </c>
      <c r="B138" s="67">
        <f>B7+B18+B32+B50+B57+B88+B111+B115+B44+B130</f>
        <v>422353.2</v>
      </c>
      <c r="C138" s="67">
        <f>C7+C18+C32+C50+C57+C88+C111+C115+C44+C130</f>
        <v>431063.8</v>
      </c>
      <c r="D138" s="67">
        <f>D7+D18+D32+D50+D57+D88+D111+D115+D44+D130</f>
        <v>406577.6999999999</v>
      </c>
      <c r="E138" s="6">
        <f>D138/D137*100</f>
        <v>74.48125749284348</v>
      </c>
      <c r="F138" s="6">
        <f aca="true" t="shared" si="20" ref="F138:F149">D138/B138*100</f>
        <v>96.26485604939181</v>
      </c>
      <c r="G138" s="6">
        <f t="shared" si="17"/>
        <v>94.3196111573275</v>
      </c>
      <c r="H138" s="6">
        <f t="shared" si="18"/>
        <v>15775.500000000116</v>
      </c>
      <c r="I138" s="18">
        <f t="shared" si="19"/>
        <v>24486.100000000093</v>
      </c>
      <c r="K138" s="46"/>
      <c r="L138" s="47"/>
    </row>
    <row r="139" spans="1:12" ht="18.75">
      <c r="A139" s="23" t="s">
        <v>0</v>
      </c>
      <c r="B139" s="68">
        <f>B10+B21+B34+B53+B59+B89+B47+B131+B105+B108</f>
        <v>52278.799999999996</v>
      </c>
      <c r="C139" s="68">
        <f>C10+C21+C34+C53+C59+C89+C47+C131+C105+C108</f>
        <v>64663</v>
      </c>
      <c r="D139" s="68">
        <f>D10+D21+D34+D53+D59+D89+D47+D131+D105+D108</f>
        <v>39033.30000000001</v>
      </c>
      <c r="E139" s="6">
        <f>D139/D137*100</f>
        <v>7.150537936771764</v>
      </c>
      <c r="F139" s="6">
        <f t="shared" si="20"/>
        <v>74.66372602278555</v>
      </c>
      <c r="G139" s="6">
        <f t="shared" si="17"/>
        <v>60.36419590801542</v>
      </c>
      <c r="H139" s="6">
        <f t="shared" si="18"/>
        <v>13245.499999999985</v>
      </c>
      <c r="I139" s="18">
        <f t="shared" si="19"/>
        <v>25629.69999999999</v>
      </c>
      <c r="K139" s="46"/>
      <c r="L139" s="103"/>
    </row>
    <row r="140" spans="1:12" ht="18.75">
      <c r="A140" s="23" t="s">
        <v>1</v>
      </c>
      <c r="B140" s="67">
        <f>B20+B9+B52+B46+B58+B33+B99+B119</f>
        <v>18665.7</v>
      </c>
      <c r="C140" s="67">
        <f>C20+C9+C52+C46+C58+C33+C99+C119</f>
        <v>20514.600000000002</v>
      </c>
      <c r="D140" s="67">
        <f>D20+D9+D52+D46+D58+D33+D99+D119</f>
        <v>17422.6</v>
      </c>
      <c r="E140" s="6">
        <f>D140/D137*100</f>
        <v>3.191658462318064</v>
      </c>
      <c r="F140" s="6">
        <f t="shared" si="20"/>
        <v>93.34019083131089</v>
      </c>
      <c r="G140" s="6">
        <f t="shared" si="17"/>
        <v>84.92780751269827</v>
      </c>
      <c r="H140" s="6">
        <f t="shared" si="18"/>
        <v>1243.1000000000022</v>
      </c>
      <c r="I140" s="18">
        <f t="shared" si="19"/>
        <v>3092.0000000000036</v>
      </c>
      <c r="K140" s="46"/>
      <c r="L140" s="47"/>
    </row>
    <row r="141" spans="1:12" ht="21" customHeight="1">
      <c r="A141" s="23" t="s">
        <v>15</v>
      </c>
      <c r="B141" s="67">
        <f>B11+B22+B100+B60+B36+B90</f>
        <v>8024.200000000001</v>
      </c>
      <c r="C141" s="67">
        <f>C11+C22+C100+C60+C36+C90</f>
        <v>8561.3</v>
      </c>
      <c r="D141" s="67">
        <f>D11+D22+D100+D60+D36+D90</f>
        <v>6572.900000000001</v>
      </c>
      <c r="E141" s="6">
        <f>D141/D137*100</f>
        <v>1.2040942171071143</v>
      </c>
      <c r="F141" s="6">
        <f t="shared" si="20"/>
        <v>81.91346177812119</v>
      </c>
      <c r="G141" s="6">
        <f t="shared" si="17"/>
        <v>76.7745552661395</v>
      </c>
      <c r="H141" s="6">
        <f t="shared" si="18"/>
        <v>1451.3000000000002</v>
      </c>
      <c r="I141" s="18">
        <f t="shared" si="19"/>
        <v>1988.3999999999987</v>
      </c>
      <c r="K141" s="46"/>
      <c r="L141" s="103"/>
    </row>
    <row r="142" spans="1:12" ht="18.75">
      <c r="A142" s="23" t="s">
        <v>2</v>
      </c>
      <c r="B142" s="67">
        <f>B8+B19+B45+B51+B118</f>
        <v>7407</v>
      </c>
      <c r="C142" s="67">
        <f>C8+C19+C45+C51+C118</f>
        <v>7976.8</v>
      </c>
      <c r="D142" s="67">
        <f>D8+D19+D45+D51+D118</f>
        <v>5727.199999999998</v>
      </c>
      <c r="E142" s="6">
        <f>D142/D137*100</f>
        <v>1.0491698337439883</v>
      </c>
      <c r="F142" s="6">
        <f t="shared" si="20"/>
        <v>77.32145267989736</v>
      </c>
      <c r="G142" s="6">
        <f t="shared" si="17"/>
        <v>71.79821482298664</v>
      </c>
      <c r="H142" s="6">
        <f t="shared" si="18"/>
        <v>1679.800000000002</v>
      </c>
      <c r="I142" s="18">
        <f t="shared" si="19"/>
        <v>2249.600000000002</v>
      </c>
      <c r="K142" s="46"/>
      <c r="L142" s="47"/>
    </row>
    <row r="143" spans="1:12" ht="19.5" thickBot="1">
      <c r="A143" s="23" t="s">
        <v>35</v>
      </c>
      <c r="B143" s="67">
        <f>B137-B138-B139-B140-B141-B142</f>
        <v>87149.1</v>
      </c>
      <c r="C143" s="67">
        <f>C137-C138-C139-C140-C141-C142</f>
        <v>91380.30000000005</v>
      </c>
      <c r="D143" s="67">
        <f>D137-D138-D139-D140-D141-D142</f>
        <v>70545.51000000017</v>
      </c>
      <c r="E143" s="6">
        <f>D143/D137*100</f>
        <v>12.92328205721558</v>
      </c>
      <c r="F143" s="6">
        <f t="shared" si="20"/>
        <v>80.94806486813997</v>
      </c>
      <c r="G143" s="43">
        <f t="shared" si="17"/>
        <v>77.19991070285404</v>
      </c>
      <c r="H143" s="6">
        <f t="shared" si="18"/>
        <v>16603.589999999836</v>
      </c>
      <c r="I143" s="6">
        <f t="shared" si="19"/>
        <v>20834.789999999877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f>65198.6+493.4-844.7</f>
        <v>64847.3</v>
      </c>
      <c r="C145" s="74">
        <f>77971.6-8326.2+721.6-624+493.4-844.7</f>
        <v>69391.70000000001</v>
      </c>
      <c r="D145" s="74">
        <f>1285.7+343.1+251.2+535+4+1250.9+3+47.1-1+182.9+10.6+2492.6+31+22.3+70.1+288.5+61.4+28+67+8.2+59.1+10.4+80.6+354.8+3.8+68.4+2.6+5.3+24.2+4809.3+1220.5+217.5+98.1+52.8+976.5+2798.4+12.2+2.6+88.8+131.2+22.7+26.1+163.4+202+27.3+0.1+261.1+2.2+582.9+6.1+237.8+608.5+22.7+3.4+91.7+429.1</f>
        <v>20685.8</v>
      </c>
      <c r="E145" s="15"/>
      <c r="F145" s="6">
        <f t="shared" si="20"/>
        <v>31.89924638342691</v>
      </c>
      <c r="G145" s="6">
        <f aca="true" t="shared" si="21" ref="G145:G154">D145/C145*100</f>
        <v>29.810193438120113</v>
      </c>
      <c r="H145" s="6">
        <f>B145-D145</f>
        <v>44161.5</v>
      </c>
      <c r="I145" s="6">
        <f aca="true" t="shared" si="22" ref="I145:I154">C145-D145</f>
        <v>48705.90000000001</v>
      </c>
      <c r="J145" s="105"/>
      <c r="K145" s="46"/>
      <c r="L145" s="46"/>
    </row>
    <row r="146" spans="1:12" ht="18.75">
      <c r="A146" s="23" t="s">
        <v>22</v>
      </c>
      <c r="B146" s="89">
        <f>27555.5-144.4+10.6</f>
        <v>27421.699999999997</v>
      </c>
      <c r="C146" s="67">
        <f>23644.2-130+4631.1-195-144.4+10.6</f>
        <v>27816.5</v>
      </c>
      <c r="D146" s="67">
        <f>2921.3+155.4+1707.9+56.8+14.6+990.8-990.8+14.7+990.8+400.1+597.2+8.8-9.6+18.2+0.4+53.9+92.1+242.6+11.1+67.1+121.7-0.1+4651+87.1+10.9+599.2+6.1+125.7+1609.1</f>
        <v>14554.100000000002</v>
      </c>
      <c r="E146" s="6"/>
      <c r="F146" s="6">
        <f t="shared" si="20"/>
        <v>53.075119339792955</v>
      </c>
      <c r="G146" s="6">
        <f t="shared" si="21"/>
        <v>52.32182337821079</v>
      </c>
      <c r="H146" s="6">
        <f aca="true" t="shared" si="23" ref="H146:H153">B146-D146</f>
        <v>12867.599999999995</v>
      </c>
      <c r="I146" s="6">
        <f t="shared" si="22"/>
        <v>13262.399999999998</v>
      </c>
      <c r="K146" s="46"/>
      <c r="L146" s="46"/>
    </row>
    <row r="147" spans="1:12" ht="18.75">
      <c r="A147" s="23" t="s">
        <v>63</v>
      </c>
      <c r="B147" s="89">
        <f>98040-349-1221+844.7</f>
        <v>97314.7</v>
      </c>
      <c r="C147" s="67">
        <f>109130.7-6200+130-3633.3+1677.5-526.6+624+0.1-349-1221+844.7</f>
        <v>100477.09999999999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+333+199+102.1+83.4-0.9+163.8+66.8-0.6+374.8+106.8+4.5+281.6+93.7+390.8+29.7+586.5+185.4+104.2+16.5+61.8+514.1-0.1+113.5+406+602.3</f>
        <v>26869.099999999995</v>
      </c>
      <c r="E147" s="6"/>
      <c r="F147" s="6">
        <f t="shared" si="20"/>
        <v>27.61052543963039</v>
      </c>
      <c r="G147" s="6">
        <f t="shared" si="21"/>
        <v>26.741516226085345</v>
      </c>
      <c r="H147" s="6">
        <f t="shared" si="23"/>
        <v>70445.6</v>
      </c>
      <c r="I147" s="6">
        <f t="shared" si="22"/>
        <v>73608</v>
      </c>
      <c r="K147" s="46"/>
      <c r="L147" s="46"/>
    </row>
    <row r="148" spans="1:12" ht="37.5">
      <c r="A148" s="23" t="s">
        <v>72</v>
      </c>
      <c r="B148" s="89">
        <f>6600+1221</f>
        <v>7821</v>
      </c>
      <c r="C148" s="67">
        <f>6200+2078.4-1678.4+1221</f>
        <v>7821</v>
      </c>
      <c r="D148" s="67">
        <f>5500+500+400+510+31.5</f>
        <v>6941.5</v>
      </c>
      <c r="E148" s="6"/>
      <c r="F148" s="6">
        <f t="shared" si="20"/>
        <v>88.7546349571666</v>
      </c>
      <c r="G148" s="6">
        <f t="shared" si="21"/>
        <v>88.7546349571666</v>
      </c>
      <c r="H148" s="6">
        <f t="shared" si="23"/>
        <v>879.5</v>
      </c>
      <c r="I148" s="6">
        <f t="shared" si="22"/>
        <v>879.5</v>
      </c>
      <c r="K148" s="46"/>
      <c r="L148" s="46"/>
    </row>
    <row r="149" spans="1:12" ht="18.75">
      <c r="A149" s="23" t="s">
        <v>13</v>
      </c>
      <c r="B149" s="89">
        <v>19458</v>
      </c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1079.6+99+23+18.9+98+142.5+46.8+99.4+162.7+67+248.3+33.5+121.9+230+22.3+285.4+115.2+35.8+49.4+183.7+191.3+33.3+185.2+84+58.5+292+106.6+183+86.3+174.6+91.3+158.5+177.9+89.5+71.7+48.6+104.9+179.9+89.6+293+119.5+2.7+259.3+89.3</f>
        <v>6332.9000000000015</v>
      </c>
      <c r="E149" s="19"/>
      <c r="F149" s="6">
        <f t="shared" si="20"/>
        <v>32.546510432726905</v>
      </c>
      <c r="G149" s="6">
        <f t="shared" si="21"/>
        <v>32.53079507278836</v>
      </c>
      <c r="H149" s="6">
        <f t="shared" si="23"/>
        <v>13125.099999999999</v>
      </c>
      <c r="I149" s="6">
        <f t="shared" si="22"/>
        <v>13134.5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f>1014.5+27.4</f>
        <v>1041.9</v>
      </c>
      <c r="C151" s="67">
        <f>790+361.2</f>
        <v>1151.2</v>
      </c>
      <c r="D151" s="67">
        <f>371+201.4+67.1+225.1+10.2+160.5</f>
        <v>1035.3000000000002</v>
      </c>
      <c r="E151" s="19"/>
      <c r="F151" s="6">
        <f>D151/B151*100</f>
        <v>99.36654189461561</v>
      </c>
      <c r="G151" s="6">
        <f t="shared" si="21"/>
        <v>89.93224461431551</v>
      </c>
      <c r="H151" s="6">
        <f t="shared" si="23"/>
        <v>6.599999999999909</v>
      </c>
      <c r="I151" s="6">
        <f t="shared" si="22"/>
        <v>115.89999999999986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1118.3+480+39.8</f>
        <v>1638.1</v>
      </c>
      <c r="E152" s="19"/>
      <c r="F152" s="6">
        <f>D152/B152*100</f>
        <v>84.19077966798581</v>
      </c>
      <c r="G152" s="6">
        <f t="shared" si="21"/>
        <v>84.19077966798581</v>
      </c>
      <c r="H152" s="6">
        <f t="shared" si="23"/>
        <v>307.60000000000014</v>
      </c>
      <c r="I152" s="6">
        <f t="shared" si="22"/>
        <v>307.60000000000014</v>
      </c>
    </row>
    <row r="153" spans="1:9" ht="19.5" thickBot="1">
      <c r="A153" s="23" t="s">
        <v>64</v>
      </c>
      <c r="B153" s="89">
        <v>8505.6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95.1+9.9+65+49.9+275.1+44.8+19.5+19.1+33.5+61.7+72.9+34.3+99.3+27.3+72.8+14.7+35.2+85.4+11.5+60.4+184.8+172.3+16.1+13.5-164.2+155.7+143.9+51.2+27.5+0.1+66.5+80.3+223.6+20.6+22+4.5+39.3+8.8+23.4+7.8+644.7+33.2+61+117.3+53.4+51.8</f>
        <v>3246.5000000000005</v>
      </c>
      <c r="E153" s="24"/>
      <c r="F153" s="6">
        <f>D153/B153*100</f>
        <v>38.168971030850265</v>
      </c>
      <c r="G153" s="6">
        <f t="shared" si="21"/>
        <v>36.61617585689634</v>
      </c>
      <c r="H153" s="6">
        <f t="shared" si="23"/>
        <v>5259.1</v>
      </c>
      <c r="I153" s="6">
        <f t="shared" si="22"/>
        <v>5619.799999999999</v>
      </c>
    </row>
    <row r="154" spans="1:9" ht="19.5" thickBot="1">
      <c r="A154" s="14" t="s">
        <v>20</v>
      </c>
      <c r="B154" s="91">
        <f>B137+B145+B149+B150+B146+B153+B152+B147+B151+B148</f>
        <v>824233.8999999999</v>
      </c>
      <c r="C154" s="91">
        <f>C137+C145+C149+C150+C146+C153+C152+C147+C151+C148</f>
        <v>861096.7</v>
      </c>
      <c r="D154" s="91">
        <f>D137+D145+D149+D150+D146+D153+D152+D147+D151+D148</f>
        <v>627182.5100000001</v>
      </c>
      <c r="E154" s="25"/>
      <c r="F154" s="3">
        <f>D154/B154*100</f>
        <v>76.09278264337347</v>
      </c>
      <c r="G154" s="3">
        <f t="shared" si="21"/>
        <v>72.83531686975459</v>
      </c>
      <c r="H154" s="3">
        <f>B154-D154</f>
        <v>197051.38999999978</v>
      </c>
      <c r="I154" s="3">
        <f t="shared" si="22"/>
        <v>233914.18999999983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545879.2100000001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4" sqref="Q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4" sqref="R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545879.2100000001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2014-10-31T10:34:43Z</cp:lastPrinted>
  <dcterms:created xsi:type="dcterms:W3CDTF">2000-06-20T04:48:00Z</dcterms:created>
  <dcterms:modified xsi:type="dcterms:W3CDTF">2014-11-27T06:14:46Z</dcterms:modified>
  <cp:category/>
  <cp:version/>
  <cp:contentType/>
  <cp:contentStatus/>
</cp:coreProperties>
</file>